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36" documentId="8_{880066A9-C53E-4117-8EF5-7E6B976D737E}" xr6:coauthVersionLast="47" xr6:coauthVersionMax="47" xr10:uidLastSave="{2E499AA6-977A-488A-BDF9-0841ABD39F1D}"/>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'37'!$A$1:$J$46</definedName>
    <definedName name="_xlnm.Print_Area" localSheetId="40">'38'!$A$1:$R$46</definedName>
    <definedName name="_xlnm.Print_Area" localSheetId="41">'39'!$A$1:$R$46</definedName>
    <definedName name="_xlnm.Print_Area" localSheetId="6">'4'!$A$1:$J$47</definedName>
    <definedName name="_xlnm.Print_Area" localSheetId="42">'40'!$A$1:$O$43</definedName>
    <definedName name="_xlnm.Print_Area" localSheetId="43">'41'!$A$1:$O$45</definedName>
    <definedName name="_xlnm.Print_Area" localSheetId="44">'42'!$A$1:$N$51</definedName>
    <definedName name="_xlnm.Print_Area" localSheetId="45">'43'!$A$1:$L$46</definedName>
    <definedName name="_xlnm.Print_Area" localSheetId="46">'44'!$A$1:$M$47</definedName>
    <definedName name="_xlnm.Print_Area" localSheetId="47">'45'!$A$1:$Q$37</definedName>
    <definedName name="_xlnm.Print_Area" localSheetId="48">'46'!$A$1:$Q$37</definedName>
    <definedName name="_xlnm.Print_Area" localSheetId="49">'47'!$A$1:$Q$37</definedName>
    <definedName name="_xlnm.Print_Area" localSheetId="50">'48'!$A$1:$Q$37</definedName>
    <definedName name="_xlnm.Print_Area" localSheetId="51">'49'!$A$1:$N$46</definedName>
    <definedName name="_xlnm.Print_Area" localSheetId="7">'5'!$A$1:$K$47</definedName>
    <definedName name="_xlnm.Print_Area" localSheetId="54">'52'!$A$1:$P$28</definedName>
    <definedName name="_xlnm.Print_Area" localSheetId="55">'53'!$A$1:$J$54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3" l="1"/>
  <c r="I43" i="7"/>
  <c r="E43" i="9"/>
  <c r="C43" i="9"/>
  <c r="T17" i="76"/>
  <c r="U17" i="76"/>
  <c r="V17" i="76"/>
  <c r="W17" i="76"/>
  <c r="X17" i="76"/>
  <c r="T18" i="76"/>
  <c r="U18" i="76"/>
  <c r="V18" i="76"/>
  <c r="W18" i="76"/>
  <c r="X18" i="76"/>
  <c r="T19" i="76"/>
  <c r="U19" i="76"/>
  <c r="V19" i="76"/>
  <c r="W19" i="76"/>
  <c r="X19" i="76"/>
  <c r="T20" i="76"/>
  <c r="U20" i="76"/>
  <c r="V20" i="76"/>
  <c r="W20" i="76"/>
  <c r="X20" i="76"/>
  <c r="T21" i="76"/>
  <c r="U21" i="76"/>
  <c r="V21" i="76"/>
  <c r="W21" i="76"/>
  <c r="X21" i="76"/>
  <c r="T22" i="76"/>
  <c r="U22" i="76"/>
  <c r="V22" i="76"/>
  <c r="W22" i="76"/>
  <c r="X22" i="76"/>
  <c r="T23" i="76"/>
  <c r="U23" i="76"/>
  <c r="V23" i="76"/>
  <c r="W23" i="76"/>
  <c r="X23" i="76"/>
  <c r="T24" i="76"/>
  <c r="U24" i="76"/>
  <c r="V24" i="76"/>
  <c r="W24" i="76"/>
  <c r="X24" i="76"/>
  <c r="T25" i="76"/>
  <c r="U25" i="76"/>
  <c r="V25" i="76"/>
  <c r="W25" i="76"/>
  <c r="X25" i="76"/>
  <c r="T26" i="76"/>
  <c r="U26" i="76"/>
  <c r="V26" i="76"/>
  <c r="W26" i="76"/>
  <c r="X26" i="76"/>
  <c r="T27" i="76"/>
  <c r="U27" i="76"/>
  <c r="V27" i="76"/>
  <c r="W27" i="76"/>
  <c r="X27" i="76"/>
  <c r="T28" i="76"/>
  <c r="U28" i="76"/>
  <c r="V28" i="76"/>
  <c r="W28" i="76"/>
  <c r="X28" i="76"/>
  <c r="T29" i="76"/>
  <c r="U29" i="76"/>
  <c r="V29" i="76"/>
  <c r="W29" i="76"/>
  <c r="X29" i="76"/>
  <c r="T30" i="76"/>
  <c r="U30" i="76"/>
  <c r="V30" i="76"/>
  <c r="W30" i="76"/>
  <c r="X30" i="76"/>
  <c r="T31" i="76"/>
  <c r="U31" i="76"/>
  <c r="V31" i="76"/>
  <c r="W31" i="76"/>
  <c r="X31" i="76"/>
  <c r="T32" i="76"/>
  <c r="U32" i="76"/>
  <c r="V32" i="76"/>
  <c r="W32" i="76"/>
  <c r="X32" i="76"/>
  <c r="T33" i="76"/>
  <c r="U33" i="76"/>
  <c r="V33" i="76"/>
  <c r="W33" i="76"/>
  <c r="X33" i="76"/>
  <c r="U16" i="76"/>
  <c r="V16" i="76"/>
  <c r="W16" i="76"/>
  <c r="X16" i="76"/>
  <c r="T16" i="76"/>
  <c r="Q43" i="73"/>
  <c r="I43" i="65"/>
  <c r="O22" i="124"/>
  <c r="N22" i="124"/>
  <c r="O21" i="124"/>
  <c r="N21" i="124"/>
  <c r="O20" i="124"/>
  <c r="N20" i="124"/>
  <c r="O19" i="124"/>
  <c r="N19" i="124"/>
  <c r="O18" i="124"/>
  <c r="N18" i="124"/>
  <c r="O17" i="124"/>
  <c r="N17" i="124"/>
  <c r="O16" i="124"/>
  <c r="N16" i="124"/>
  <c r="O15" i="124"/>
  <c r="N15" i="124"/>
  <c r="O14" i="124"/>
  <c r="N14" i="124"/>
  <c r="O13" i="124"/>
  <c r="N13" i="124"/>
  <c r="O12" i="124"/>
  <c r="N12" i="124"/>
  <c r="O11" i="124"/>
  <c r="N11" i="124"/>
  <c r="O10" i="124"/>
  <c r="N10" i="124"/>
  <c r="O9" i="124"/>
  <c r="N9" i="124"/>
  <c r="K6" i="124"/>
  <c r="O7" i="124" s="1"/>
  <c r="H6" i="124"/>
  <c r="N7" i="124" s="1"/>
  <c r="N42" i="97"/>
  <c r="G42" i="97"/>
  <c r="I42" i="97" s="1"/>
  <c r="F78" i="63" l="1"/>
  <c r="D43" i="94"/>
  <c r="C43" i="94"/>
  <c r="E43" i="94" s="1"/>
  <c r="E42" i="94"/>
  <c r="E41" i="94"/>
  <c r="E40" i="94"/>
  <c r="B31" i="63"/>
  <c r="B28" i="63"/>
  <c r="B26" i="63"/>
  <c r="B24" i="63"/>
  <c r="B22" i="63"/>
  <c r="B20" i="63"/>
  <c r="E81" i="63"/>
  <c r="D81" i="63"/>
  <c r="C81" i="63"/>
  <c r="B81" i="63"/>
  <c r="B39" i="63"/>
  <c r="B37" i="63"/>
  <c r="B15" i="63"/>
  <c r="F21" i="80" l="1"/>
  <c r="E21" i="80"/>
  <c r="L40" i="107" l="1"/>
  <c r="G40" i="107"/>
  <c r="G29" i="107"/>
  <c r="D21" i="93" l="1"/>
  <c r="E21" i="93"/>
  <c r="C21" i="93"/>
  <c r="G43" i="107" l="1"/>
  <c r="F103" i="63" l="1"/>
  <c r="F102" i="63"/>
  <c r="F100" i="63"/>
  <c r="F99" i="63"/>
  <c r="F98" i="63"/>
  <c r="F97" i="63"/>
  <c r="F105" i="63"/>
  <c r="F95" i="63"/>
  <c r="F94" i="63"/>
  <c r="F51" i="63"/>
  <c r="F50" i="63"/>
  <c r="F21" i="93"/>
  <c r="F37" i="93"/>
  <c r="O30" i="77"/>
  <c r="O22" i="77" s="1"/>
  <c r="J30" i="77"/>
  <c r="J22" i="77" s="1"/>
  <c r="G30" i="77"/>
  <c r="G22" i="77" s="1"/>
  <c r="K30" i="75"/>
  <c r="K22" i="75" s="1"/>
  <c r="L30" i="72"/>
  <c r="L22" i="72" s="1"/>
  <c r="F30" i="73"/>
  <c r="F22" i="73" s="1"/>
  <c r="L30" i="18"/>
  <c r="L22" i="18" s="1"/>
  <c r="E30" i="18"/>
  <c r="E22" i="18" s="1"/>
  <c r="I30" i="106"/>
  <c r="I22" i="106" s="1"/>
  <c r="K30" i="65"/>
  <c r="K22" i="65" s="1"/>
  <c r="H30" i="65"/>
  <c r="H22" i="65" s="1"/>
  <c r="Q30" i="15"/>
  <c r="Q22" i="15" s="1"/>
  <c r="I30" i="15"/>
  <c r="I22" i="15" s="1"/>
  <c r="D30" i="15"/>
  <c r="D22" i="15" s="1"/>
  <c r="H30" i="14"/>
  <c r="H22" i="14" s="1"/>
  <c r="M30" i="13"/>
  <c r="M22" i="13" s="1"/>
  <c r="K30" i="13"/>
  <c r="K22" i="13" s="1"/>
  <c r="J30" i="13"/>
  <c r="J22" i="13" s="1"/>
  <c r="K30" i="11"/>
  <c r="K22" i="11" s="1"/>
  <c r="I30" i="11"/>
  <c r="I22" i="11" s="1"/>
  <c r="F22" i="63"/>
  <c r="H30" i="10"/>
  <c r="H22" i="10" s="1"/>
  <c r="L22" i="120"/>
  <c r="J22" i="120"/>
  <c r="H22" i="79"/>
  <c r="G22" i="79"/>
  <c r="F22" i="79"/>
  <c r="E22" i="79"/>
  <c r="C22" i="79"/>
  <c r="Q22" i="80"/>
  <c r="D22" i="130"/>
  <c r="C22" i="130"/>
  <c r="K22" i="4"/>
  <c r="I22" i="4"/>
  <c r="C22" i="4"/>
  <c r="N30" i="83"/>
  <c r="N22" i="83" s="1"/>
  <c r="M30" i="83"/>
  <c r="M22" i="83" s="1"/>
  <c r="K30" i="83"/>
  <c r="K22" i="83" s="1"/>
  <c r="J30" i="83"/>
  <c r="J22" i="83" s="1"/>
  <c r="G30" i="83"/>
  <c r="G22" i="83" s="1"/>
  <c r="F30" i="83"/>
  <c r="F22" i="83" s="1"/>
  <c r="D30" i="83"/>
  <c r="D22" i="83" s="1"/>
  <c r="C30" i="83"/>
  <c r="C22" i="83" s="1"/>
  <c r="E22" i="83" s="1"/>
  <c r="N30" i="119"/>
  <c r="N22" i="119" s="1"/>
  <c r="M30" i="119"/>
  <c r="M22" i="119" s="1"/>
  <c r="L30" i="119"/>
  <c r="L22" i="119" s="1"/>
  <c r="K30" i="119"/>
  <c r="K22" i="119" s="1"/>
  <c r="J30" i="119"/>
  <c r="J22" i="119" s="1"/>
  <c r="I30" i="119"/>
  <c r="I22" i="119" s="1"/>
  <c r="H30" i="119"/>
  <c r="H22" i="119" s="1"/>
  <c r="G30" i="119"/>
  <c r="G22" i="119" s="1"/>
  <c r="F30" i="119"/>
  <c r="F22" i="119" s="1"/>
  <c r="E30" i="119"/>
  <c r="E22" i="119" s="1"/>
  <c r="D30" i="119"/>
  <c r="D22" i="119" s="1"/>
  <c r="C30" i="119"/>
  <c r="C22" i="119" s="1"/>
  <c r="L30" i="107"/>
  <c r="K30" i="107"/>
  <c r="K22" i="107" s="1"/>
  <c r="J30" i="107"/>
  <c r="J22" i="107" s="1"/>
  <c r="I30" i="107"/>
  <c r="I22" i="107" s="1"/>
  <c r="G30" i="107"/>
  <c r="G22" i="107" s="1"/>
  <c r="E30" i="107"/>
  <c r="E22" i="107" s="1"/>
  <c r="D30" i="107"/>
  <c r="C30" i="107"/>
  <c r="C22" i="107" s="1"/>
  <c r="F30" i="90"/>
  <c r="F22" i="90" s="1"/>
  <c r="E30" i="90"/>
  <c r="E22" i="90" s="1"/>
  <c r="D30" i="90"/>
  <c r="D22" i="90" s="1"/>
  <c r="L30" i="120"/>
  <c r="K30" i="120"/>
  <c r="K22" i="120" s="1"/>
  <c r="J30" i="120"/>
  <c r="I30" i="120"/>
  <c r="I22" i="120" s="1"/>
  <c r="H30" i="120"/>
  <c r="H22" i="120" s="1"/>
  <c r="G30" i="120"/>
  <c r="G22" i="120" s="1"/>
  <c r="F30" i="120"/>
  <c r="F22" i="120" s="1"/>
  <c r="E30" i="120"/>
  <c r="E22" i="120" s="1"/>
  <c r="D30" i="120"/>
  <c r="D22" i="120" s="1"/>
  <c r="C30" i="120"/>
  <c r="C22" i="120" s="1"/>
  <c r="I30" i="5"/>
  <c r="I22" i="5" s="1"/>
  <c r="G30" i="5"/>
  <c r="G22" i="5" s="1"/>
  <c r="F30" i="5"/>
  <c r="F22" i="5" s="1"/>
  <c r="E30" i="5"/>
  <c r="E22" i="5" s="1"/>
  <c r="D30" i="5"/>
  <c r="D22" i="5" s="1"/>
  <c r="C30" i="5"/>
  <c r="C22" i="5" s="1"/>
  <c r="L30" i="79"/>
  <c r="L22" i="79" s="1"/>
  <c r="K30" i="79"/>
  <c r="K22" i="79" s="1"/>
  <c r="J30" i="79"/>
  <c r="J22" i="79" s="1"/>
  <c r="I30" i="79"/>
  <c r="I22" i="79" s="1"/>
  <c r="H30" i="79"/>
  <c r="G30" i="79"/>
  <c r="F30" i="79"/>
  <c r="E30" i="79"/>
  <c r="D30" i="79"/>
  <c r="D22" i="79" s="1"/>
  <c r="C30" i="79"/>
  <c r="Q30" i="80"/>
  <c r="F30" i="130"/>
  <c r="F22" i="130" s="1"/>
  <c r="E30" i="130"/>
  <c r="E22" i="130" s="1"/>
  <c r="C30" i="130"/>
  <c r="K30" i="90"/>
  <c r="I30" i="90"/>
  <c r="I22" i="90" s="1"/>
  <c r="H30" i="90"/>
  <c r="H22" i="90" s="1"/>
  <c r="C30" i="90"/>
  <c r="C22" i="90" s="1"/>
  <c r="J30" i="121"/>
  <c r="J22" i="121" s="1"/>
  <c r="I30" i="121"/>
  <c r="I22" i="121" s="1"/>
  <c r="H30" i="121"/>
  <c r="H22" i="121" s="1"/>
  <c r="G30" i="121"/>
  <c r="G22" i="121" s="1"/>
  <c r="F30" i="121"/>
  <c r="F22" i="121" s="1"/>
  <c r="E30" i="121"/>
  <c r="E22" i="121" s="1"/>
  <c r="D30" i="121"/>
  <c r="D22" i="121" s="1"/>
  <c r="C30" i="121"/>
  <c r="C22" i="121" s="1"/>
  <c r="O30" i="4"/>
  <c r="O22" i="4" s="1"/>
  <c r="N30" i="4"/>
  <c r="N22" i="4" s="1"/>
  <c r="M30" i="4"/>
  <c r="M22" i="4" s="1"/>
  <c r="L30" i="4"/>
  <c r="L22" i="4" s="1"/>
  <c r="K30" i="4"/>
  <c r="J30" i="4"/>
  <c r="J22" i="4" s="1"/>
  <c r="I30" i="4"/>
  <c r="G30" i="4"/>
  <c r="G22" i="4" s="1"/>
  <c r="F30" i="4"/>
  <c r="F22" i="4" s="1"/>
  <c r="E30" i="4"/>
  <c r="E22" i="4" s="1"/>
  <c r="D30" i="4"/>
  <c r="D22" i="4" s="1"/>
  <c r="C30" i="4"/>
  <c r="S30" i="80"/>
  <c r="S22" i="80" s="1"/>
  <c r="R30" i="80"/>
  <c r="R22" i="80" s="1"/>
  <c r="P30" i="80"/>
  <c r="P22" i="80" s="1"/>
  <c r="O30" i="80"/>
  <c r="O22" i="80" s="1"/>
  <c r="N30" i="80"/>
  <c r="N22" i="80" s="1"/>
  <c r="M30" i="80"/>
  <c r="M22" i="80" s="1"/>
  <c r="L30" i="80"/>
  <c r="L22" i="80" s="1"/>
  <c r="K30" i="80"/>
  <c r="K22" i="80" s="1"/>
  <c r="J30" i="80"/>
  <c r="J22" i="80" s="1"/>
  <c r="I30" i="80"/>
  <c r="I22" i="80" s="1"/>
  <c r="H30" i="80"/>
  <c r="H22" i="80" s="1"/>
  <c r="G30" i="80"/>
  <c r="G22" i="80" s="1"/>
  <c r="F30" i="80"/>
  <c r="F22" i="80" s="1"/>
  <c r="E30" i="80"/>
  <c r="E22" i="80" s="1"/>
  <c r="D30" i="80"/>
  <c r="D22" i="80" s="1"/>
  <c r="C30" i="80"/>
  <c r="C22" i="80" s="1"/>
  <c r="S30" i="128"/>
  <c r="S22" i="128" s="1"/>
  <c r="R30" i="128"/>
  <c r="R22" i="128" s="1"/>
  <c r="Q30" i="128"/>
  <c r="Q22" i="128" s="1"/>
  <c r="P30" i="128"/>
  <c r="P22" i="128" s="1"/>
  <c r="O30" i="128"/>
  <c r="O22" i="128" s="1"/>
  <c r="N30" i="128"/>
  <c r="N22" i="128" s="1"/>
  <c r="M30" i="128"/>
  <c r="M22" i="128" s="1"/>
  <c r="L30" i="128"/>
  <c r="L22" i="128" s="1"/>
  <c r="K30" i="128"/>
  <c r="K22" i="128" s="1"/>
  <c r="J30" i="128"/>
  <c r="J22" i="128" s="1"/>
  <c r="I30" i="128"/>
  <c r="I22" i="128" s="1"/>
  <c r="H30" i="128"/>
  <c r="H22" i="128" s="1"/>
  <c r="G30" i="128"/>
  <c r="G22" i="128" s="1"/>
  <c r="F30" i="128"/>
  <c r="F22" i="128" s="1"/>
  <c r="E30" i="128"/>
  <c r="E22" i="128" s="1"/>
  <c r="D30" i="128"/>
  <c r="D22" i="128" s="1"/>
  <c r="C30" i="128"/>
  <c r="C22" i="128" s="1"/>
  <c r="M30" i="10"/>
  <c r="M22" i="10" s="1"/>
  <c r="K30" i="10"/>
  <c r="K22" i="10" s="1"/>
  <c r="J30" i="10"/>
  <c r="J22" i="10" s="1"/>
  <c r="I30" i="10"/>
  <c r="I22" i="10" s="1"/>
  <c r="G30" i="10"/>
  <c r="G22" i="10" s="1"/>
  <c r="E30" i="10"/>
  <c r="E22" i="10" s="1"/>
  <c r="D30" i="10"/>
  <c r="D22" i="10" s="1"/>
  <c r="K43" i="5"/>
  <c r="K30" i="5" s="1"/>
  <c r="K22" i="5" s="1"/>
  <c r="L30" i="11"/>
  <c r="L22" i="11" s="1"/>
  <c r="J30" i="11"/>
  <c r="J22" i="11" s="1"/>
  <c r="H30" i="11"/>
  <c r="H22" i="11" s="1"/>
  <c r="D30" i="11"/>
  <c r="D22" i="11" s="1"/>
  <c r="I30" i="12"/>
  <c r="I22" i="12" s="1"/>
  <c r="H30" i="12"/>
  <c r="H22" i="12" s="1"/>
  <c r="F30" i="12"/>
  <c r="F22" i="12" s="1"/>
  <c r="E30" i="12"/>
  <c r="E22" i="12" s="1"/>
  <c r="D30" i="12"/>
  <c r="D22" i="12" s="1"/>
  <c r="C30" i="12"/>
  <c r="C22" i="12" s="1"/>
  <c r="N30" i="13"/>
  <c r="N22" i="13" s="1"/>
  <c r="L30" i="13"/>
  <c r="L22" i="13" s="1"/>
  <c r="I30" i="13"/>
  <c r="I22" i="13" s="1"/>
  <c r="H30" i="13"/>
  <c r="H22" i="13" s="1"/>
  <c r="G30" i="13"/>
  <c r="G22" i="13" s="1"/>
  <c r="F30" i="13"/>
  <c r="F22" i="13" s="1"/>
  <c r="E30" i="13"/>
  <c r="E22" i="13" s="1"/>
  <c r="D30" i="13"/>
  <c r="D22" i="13" s="1"/>
  <c r="C30" i="13"/>
  <c r="C22" i="13" s="1"/>
  <c r="N30" i="14"/>
  <c r="N22" i="14" s="1"/>
  <c r="M30" i="14"/>
  <c r="M22" i="14" s="1"/>
  <c r="L30" i="14"/>
  <c r="L22" i="14" s="1"/>
  <c r="K30" i="14"/>
  <c r="K22" i="14" s="1"/>
  <c r="J30" i="14"/>
  <c r="J22" i="14" s="1"/>
  <c r="I30" i="14"/>
  <c r="I22" i="14" s="1"/>
  <c r="G30" i="14"/>
  <c r="G22" i="14" s="1"/>
  <c r="F30" i="14"/>
  <c r="F22" i="14" s="1"/>
  <c r="E30" i="14"/>
  <c r="E22" i="14" s="1"/>
  <c r="D30" i="14"/>
  <c r="D22" i="14" s="1"/>
  <c r="C30" i="14"/>
  <c r="C22" i="14" s="1"/>
  <c r="P30" i="15"/>
  <c r="P22" i="15" s="1"/>
  <c r="O30" i="15"/>
  <c r="O22" i="15" s="1"/>
  <c r="M30" i="15"/>
  <c r="M22" i="15" s="1"/>
  <c r="L30" i="15"/>
  <c r="K30" i="15"/>
  <c r="J30" i="15"/>
  <c r="J22" i="15" s="1"/>
  <c r="H30" i="15"/>
  <c r="H22" i="15" s="1"/>
  <c r="G30" i="15"/>
  <c r="G22" i="15" s="1"/>
  <c r="F30" i="15"/>
  <c r="F22" i="15" s="1"/>
  <c r="D43" i="6"/>
  <c r="D30" i="6" s="1"/>
  <c r="D22" i="6" s="1"/>
  <c r="C30" i="15"/>
  <c r="C22" i="15" s="1"/>
  <c r="L30" i="102"/>
  <c r="K30" i="102"/>
  <c r="K22" i="102" s="1"/>
  <c r="J30" i="102"/>
  <c r="J22" i="102" s="1"/>
  <c r="I30" i="102"/>
  <c r="I22" i="102" s="1"/>
  <c r="H30" i="102"/>
  <c r="H22" i="102" s="1"/>
  <c r="G30" i="102"/>
  <c r="G22" i="102" s="1"/>
  <c r="F30" i="102"/>
  <c r="F22" i="102" s="1"/>
  <c r="E30" i="102"/>
  <c r="E22" i="102" s="1"/>
  <c r="D30" i="102"/>
  <c r="D22" i="102" s="1"/>
  <c r="C30" i="102"/>
  <c r="C22" i="102" s="1"/>
  <c r="P30" i="65"/>
  <c r="P22" i="65" s="1"/>
  <c r="O30" i="65"/>
  <c r="O22" i="65" s="1"/>
  <c r="N30" i="65"/>
  <c r="N22" i="65" s="1"/>
  <c r="M30" i="65"/>
  <c r="M22" i="65" s="1"/>
  <c r="L30" i="65"/>
  <c r="L22" i="65" s="1"/>
  <c r="J30" i="65"/>
  <c r="J22" i="65" s="1"/>
  <c r="G30" i="65"/>
  <c r="G22" i="65" s="1"/>
  <c r="F30" i="65"/>
  <c r="F22" i="65" s="1"/>
  <c r="E30" i="65"/>
  <c r="E22" i="65" s="1"/>
  <c r="D30" i="65"/>
  <c r="D22" i="65" s="1"/>
  <c r="C30" i="65"/>
  <c r="C22" i="65" s="1"/>
  <c r="Q30" i="64"/>
  <c r="Q22" i="64" s="1"/>
  <c r="P30" i="64"/>
  <c r="P22" i="64" s="1"/>
  <c r="O30" i="64"/>
  <c r="O22" i="64" s="1"/>
  <c r="N30" i="64"/>
  <c r="N22" i="64" s="1"/>
  <c r="M30" i="64"/>
  <c r="M22" i="64" s="1"/>
  <c r="L30" i="64"/>
  <c r="L22" i="64" s="1"/>
  <c r="K30" i="64"/>
  <c r="K22" i="64" s="1"/>
  <c r="J30" i="64"/>
  <c r="J22" i="64" s="1"/>
  <c r="I30" i="64"/>
  <c r="I22" i="64" s="1"/>
  <c r="H30" i="64"/>
  <c r="H22" i="64" s="1"/>
  <c r="G30" i="64"/>
  <c r="G22" i="64" s="1"/>
  <c r="F30" i="64"/>
  <c r="F22" i="64" s="1"/>
  <c r="E30" i="64"/>
  <c r="E22" i="64" s="1"/>
  <c r="D30" i="64"/>
  <c r="D22" i="64" s="1"/>
  <c r="C30" i="64"/>
  <c r="C22" i="64" s="1"/>
  <c r="K30" i="61"/>
  <c r="K22" i="61" s="1"/>
  <c r="J30" i="61"/>
  <c r="J22" i="61" s="1"/>
  <c r="I30" i="61"/>
  <c r="I22" i="61" s="1"/>
  <c r="H30" i="61"/>
  <c r="H22" i="61" s="1"/>
  <c r="G30" i="61"/>
  <c r="G22" i="61" s="1"/>
  <c r="F30" i="61"/>
  <c r="F22" i="61" s="1"/>
  <c r="E30" i="61"/>
  <c r="E22" i="61" s="1"/>
  <c r="D30" i="61"/>
  <c r="D22" i="61" s="1"/>
  <c r="C30" i="61"/>
  <c r="C22" i="61" s="1"/>
  <c r="P30" i="105"/>
  <c r="P22" i="105" s="1"/>
  <c r="O30" i="105"/>
  <c r="O22" i="105" s="1"/>
  <c r="N30" i="105"/>
  <c r="N22" i="105" s="1"/>
  <c r="M30" i="105"/>
  <c r="M22" i="105" s="1"/>
  <c r="L30" i="105"/>
  <c r="L22" i="105" s="1"/>
  <c r="K30" i="105"/>
  <c r="K22" i="105" s="1"/>
  <c r="J30" i="105"/>
  <c r="J22" i="105" s="1"/>
  <c r="I30" i="105"/>
  <c r="I22" i="105" s="1"/>
  <c r="H30" i="105"/>
  <c r="H22" i="105" s="1"/>
  <c r="G30" i="105"/>
  <c r="G22" i="105" s="1"/>
  <c r="F30" i="105"/>
  <c r="F22" i="105" s="1"/>
  <c r="E30" i="105"/>
  <c r="E22" i="105" s="1"/>
  <c r="D30" i="105"/>
  <c r="D22" i="105" s="1"/>
  <c r="C30" i="105"/>
  <c r="C22" i="105" s="1"/>
  <c r="P30" i="106"/>
  <c r="P22" i="106" s="1"/>
  <c r="O30" i="106"/>
  <c r="O22" i="106" s="1"/>
  <c r="N30" i="106"/>
  <c r="N22" i="106" s="1"/>
  <c r="M30" i="106"/>
  <c r="M22" i="106" s="1"/>
  <c r="L30" i="106"/>
  <c r="L22" i="106" s="1"/>
  <c r="K30" i="106"/>
  <c r="K22" i="106" s="1"/>
  <c r="J30" i="106"/>
  <c r="J22" i="106" s="1"/>
  <c r="H30" i="106"/>
  <c r="H22" i="106" s="1"/>
  <c r="G30" i="106"/>
  <c r="G22" i="106" s="1"/>
  <c r="F30" i="106"/>
  <c r="F22" i="106" s="1"/>
  <c r="E30" i="106"/>
  <c r="E22" i="106" s="1"/>
  <c r="D30" i="106"/>
  <c r="D22" i="106" s="1"/>
  <c r="C30" i="106"/>
  <c r="C22" i="106" s="1"/>
  <c r="O30" i="17"/>
  <c r="O22" i="17" s="1"/>
  <c r="N30" i="17"/>
  <c r="N22" i="17" s="1"/>
  <c r="M30" i="17"/>
  <c r="M22" i="17" s="1"/>
  <c r="L30" i="17"/>
  <c r="L22" i="17" s="1"/>
  <c r="K30" i="17"/>
  <c r="K22" i="17" s="1"/>
  <c r="J30" i="17"/>
  <c r="J22" i="17" s="1"/>
  <c r="I30" i="17"/>
  <c r="I22" i="17" s="1"/>
  <c r="H30" i="17"/>
  <c r="H22" i="17" s="1"/>
  <c r="G43" i="9"/>
  <c r="G30" i="9" s="1"/>
  <c r="G22" i="9" s="1"/>
  <c r="F30" i="17"/>
  <c r="F22" i="17" s="1"/>
  <c r="E30" i="17"/>
  <c r="E22" i="17" s="1"/>
  <c r="D30" i="17"/>
  <c r="D22" i="17" s="1"/>
  <c r="C30" i="17"/>
  <c r="C22" i="17" s="1"/>
  <c r="O30" i="18"/>
  <c r="O22" i="18" s="1"/>
  <c r="N30" i="18"/>
  <c r="N22" i="18" s="1"/>
  <c r="M30" i="18"/>
  <c r="M22" i="18" s="1"/>
  <c r="K30" i="18"/>
  <c r="K22" i="18" s="1"/>
  <c r="J30" i="18"/>
  <c r="J22" i="18" s="1"/>
  <c r="I30" i="18"/>
  <c r="I22" i="18" s="1"/>
  <c r="H30" i="18"/>
  <c r="H22" i="18" s="1"/>
  <c r="G30" i="18"/>
  <c r="G22" i="18" s="1"/>
  <c r="F30" i="18"/>
  <c r="F22" i="18" s="1"/>
  <c r="D30" i="18"/>
  <c r="D22" i="18" s="1"/>
  <c r="C30" i="18"/>
  <c r="C22" i="18" s="1"/>
  <c r="P30" i="73"/>
  <c r="P22" i="73" s="1"/>
  <c r="O30" i="73"/>
  <c r="O22" i="73" s="1"/>
  <c r="N30" i="73"/>
  <c r="N22" i="73" s="1"/>
  <c r="M30" i="73"/>
  <c r="M22" i="73" s="1"/>
  <c r="L30" i="73"/>
  <c r="L22" i="73" s="1"/>
  <c r="K30" i="73"/>
  <c r="K22" i="73" s="1"/>
  <c r="H30" i="73"/>
  <c r="H22" i="73" s="1"/>
  <c r="G30" i="73"/>
  <c r="G22" i="73" s="1"/>
  <c r="E30" i="73"/>
  <c r="E22" i="73" s="1"/>
  <c r="D30" i="73"/>
  <c r="D22" i="73" s="1"/>
  <c r="C30" i="73"/>
  <c r="C22" i="73" s="1"/>
  <c r="Q30" i="72"/>
  <c r="Q22" i="72" s="1"/>
  <c r="P30" i="72"/>
  <c r="P22" i="72" s="1"/>
  <c r="O30" i="72"/>
  <c r="O22" i="72" s="1"/>
  <c r="N30" i="72"/>
  <c r="N22" i="72" s="1"/>
  <c r="M30" i="72"/>
  <c r="M22" i="72" s="1"/>
  <c r="K30" i="72"/>
  <c r="K22" i="72" s="1"/>
  <c r="J30" i="72"/>
  <c r="J22" i="72" s="1"/>
  <c r="I30" i="72"/>
  <c r="I22" i="72" s="1"/>
  <c r="H30" i="72"/>
  <c r="H22" i="72" s="1"/>
  <c r="G30" i="72"/>
  <c r="G22" i="72" s="1"/>
  <c r="F30" i="72"/>
  <c r="F22" i="72" s="1"/>
  <c r="E30" i="72"/>
  <c r="E22" i="72" s="1"/>
  <c r="D30" i="72"/>
  <c r="D22" i="72" s="1"/>
  <c r="C30" i="72"/>
  <c r="C22" i="72" s="1"/>
  <c r="P30" i="75"/>
  <c r="P22" i="75" s="1"/>
  <c r="O30" i="75"/>
  <c r="O22" i="75" s="1"/>
  <c r="N30" i="75"/>
  <c r="N22" i="75" s="1"/>
  <c r="M30" i="75"/>
  <c r="M22" i="75" s="1"/>
  <c r="L30" i="75"/>
  <c r="L22" i="75" s="1"/>
  <c r="J30" i="75"/>
  <c r="J22" i="75" s="1"/>
  <c r="I30" i="75"/>
  <c r="I22" i="75" s="1"/>
  <c r="H30" i="75"/>
  <c r="H22" i="75" s="1"/>
  <c r="G30" i="75"/>
  <c r="G22" i="75" s="1"/>
  <c r="F30" i="75"/>
  <c r="F22" i="75" s="1"/>
  <c r="E30" i="75"/>
  <c r="E22" i="75" s="1"/>
  <c r="D30" i="75"/>
  <c r="D22" i="75" s="1"/>
  <c r="C30" i="75"/>
  <c r="C22" i="75" s="1"/>
  <c r="P30" i="74"/>
  <c r="P22" i="74" s="1"/>
  <c r="O30" i="74"/>
  <c r="O22" i="74" s="1"/>
  <c r="N30" i="74"/>
  <c r="N22" i="74" s="1"/>
  <c r="M30" i="74"/>
  <c r="M22" i="74" s="1"/>
  <c r="L30" i="74"/>
  <c r="L22" i="74" s="1"/>
  <c r="K30" i="74"/>
  <c r="K22" i="74" s="1"/>
  <c r="J30" i="74"/>
  <c r="J22" i="74" s="1"/>
  <c r="I30" i="74"/>
  <c r="I22" i="74" s="1"/>
  <c r="H30" i="74"/>
  <c r="H22" i="74" s="1"/>
  <c r="G30" i="74"/>
  <c r="G22" i="74" s="1"/>
  <c r="F30" i="74"/>
  <c r="F22" i="74" s="1"/>
  <c r="E30" i="74"/>
  <c r="E22" i="74" s="1"/>
  <c r="D30" i="74"/>
  <c r="D22" i="74" s="1"/>
  <c r="C30" i="74"/>
  <c r="C22" i="74" s="1"/>
  <c r="P30" i="78"/>
  <c r="P22" i="78" s="1"/>
  <c r="O30" i="78"/>
  <c r="O22" i="78" s="1"/>
  <c r="N30" i="78"/>
  <c r="N22" i="78" s="1"/>
  <c r="M30" i="78"/>
  <c r="M22" i="78" s="1"/>
  <c r="L30" i="78"/>
  <c r="L22" i="78" s="1"/>
  <c r="K30" i="78"/>
  <c r="K22" i="78" s="1"/>
  <c r="J30" i="78"/>
  <c r="J22" i="78" s="1"/>
  <c r="H30" i="78"/>
  <c r="H22" i="78" s="1"/>
  <c r="G30" i="78"/>
  <c r="G22" i="78" s="1"/>
  <c r="F30" i="78"/>
  <c r="F22" i="78" s="1"/>
  <c r="E30" i="78"/>
  <c r="E22" i="78" s="1"/>
  <c r="C30" i="78"/>
  <c r="C22" i="78" s="1"/>
  <c r="M30" i="110"/>
  <c r="M22" i="110" s="1"/>
  <c r="Q30" i="77"/>
  <c r="Q22" i="77" s="1"/>
  <c r="P30" i="77"/>
  <c r="P22" i="77" s="1"/>
  <c r="N30" i="77"/>
  <c r="N22" i="77" s="1"/>
  <c r="M30" i="77"/>
  <c r="M22" i="77" s="1"/>
  <c r="L30" i="77"/>
  <c r="L22" i="77" s="1"/>
  <c r="K30" i="77"/>
  <c r="K22" i="77" s="1"/>
  <c r="I30" i="77"/>
  <c r="I22" i="77" s="1"/>
  <c r="H30" i="77"/>
  <c r="H22" i="77" s="1"/>
  <c r="F30" i="77"/>
  <c r="F22" i="77" s="1"/>
  <c r="E30" i="77"/>
  <c r="E22" i="77" s="1"/>
  <c r="D30" i="77"/>
  <c r="D22" i="77" s="1"/>
  <c r="C30" i="77"/>
  <c r="C22" i="77" s="1"/>
  <c r="H43" i="4"/>
  <c r="J43" i="5"/>
  <c r="J30" i="5" s="1"/>
  <c r="J22" i="5" s="1"/>
  <c r="H43" i="5"/>
  <c r="H30" i="5" s="1"/>
  <c r="H22" i="5" s="1"/>
  <c r="K43" i="6"/>
  <c r="K30" i="6" s="1"/>
  <c r="K22" i="6" s="1"/>
  <c r="C43" i="7"/>
  <c r="C30" i="7" s="1"/>
  <c r="C22" i="7" s="1"/>
  <c r="E22" i="8" s="1"/>
  <c r="H43" i="107"/>
  <c r="F43" i="107"/>
  <c r="G43" i="130"/>
  <c r="G30" i="130" s="1"/>
  <c r="G22" i="130" s="1"/>
  <c r="D43" i="130"/>
  <c r="M43" i="120"/>
  <c r="B17" i="109"/>
  <c r="B16" i="109"/>
  <c r="B15" i="109"/>
  <c r="I14" i="109"/>
  <c r="H14" i="109"/>
  <c r="G14" i="109"/>
  <c r="F14" i="109"/>
  <c r="E14" i="109"/>
  <c r="D14" i="109"/>
  <c r="D8" i="109" s="1"/>
  <c r="C14" i="109"/>
  <c r="B14" i="109"/>
  <c r="B13" i="109"/>
  <c r="B12" i="109"/>
  <c r="B11" i="109"/>
  <c r="B10" i="109"/>
  <c r="I9" i="109"/>
  <c r="I8" i="109" s="1"/>
  <c r="H9" i="109"/>
  <c r="H8" i="109" s="1"/>
  <c r="G9" i="109"/>
  <c r="G8" i="109" s="1"/>
  <c r="F9" i="109"/>
  <c r="B9" i="109" s="1"/>
  <c r="E9" i="109"/>
  <c r="E8" i="109" s="1"/>
  <c r="D9" i="109"/>
  <c r="C9" i="109"/>
  <c r="C8" i="109"/>
  <c r="L22" i="102" l="1"/>
  <c r="C40" i="98"/>
  <c r="E40" i="98" s="1"/>
  <c r="F9" i="63"/>
  <c r="L30" i="10"/>
  <c r="L22" i="10" s="1"/>
  <c r="L22" i="83"/>
  <c r="P22" i="83" s="1"/>
  <c r="G43" i="7"/>
  <c r="G30" i="7" s="1"/>
  <c r="G22" i="7" s="1"/>
  <c r="I22" i="8" s="1"/>
  <c r="D43" i="9"/>
  <c r="D30" i="9" s="1"/>
  <c r="D22" i="9" s="1"/>
  <c r="D30" i="78"/>
  <c r="D22" i="78" s="1"/>
  <c r="I43" i="78"/>
  <c r="C30" i="11"/>
  <c r="C22" i="11" s="1"/>
  <c r="J43" i="9"/>
  <c r="J30" i="9" s="1"/>
  <c r="J22" i="9" s="1"/>
  <c r="F30" i="11"/>
  <c r="F22" i="11" s="1"/>
  <c r="L43" i="9"/>
  <c r="J30" i="73"/>
  <c r="J22" i="73" s="1"/>
  <c r="O22" i="83"/>
  <c r="H22" i="83"/>
  <c r="E43" i="6"/>
  <c r="E30" i="6" s="1"/>
  <c r="E22" i="6" s="1"/>
  <c r="F27" i="63"/>
  <c r="F28" i="63" s="1"/>
  <c r="F36" i="63"/>
  <c r="F37" i="63" s="1"/>
  <c r="F38" i="63"/>
  <c r="F39" i="63" s="1"/>
  <c r="F53" i="63"/>
  <c r="F54" i="63"/>
  <c r="F55" i="63"/>
  <c r="F23" i="63"/>
  <c r="F24" i="63" s="1"/>
  <c r="F25" i="63"/>
  <c r="F26" i="63" s="1"/>
  <c r="H30" i="107"/>
  <c r="M22" i="120"/>
  <c r="F30" i="107"/>
  <c r="D22" i="107"/>
  <c r="L22" i="15"/>
  <c r="F43" i="9"/>
  <c r="F30" i="9" s="1"/>
  <c r="F22" i="9" s="1"/>
  <c r="L30" i="9"/>
  <c r="L22" i="9" s="1"/>
  <c r="I22" i="83"/>
  <c r="K43" i="9"/>
  <c r="K30" i="9" s="1"/>
  <c r="K22" i="9" s="1"/>
  <c r="M43" i="9"/>
  <c r="M30" i="9" s="1"/>
  <c r="M22" i="9" s="1"/>
  <c r="C30" i="10"/>
  <c r="C22" i="10" s="1"/>
  <c r="F30" i="10"/>
  <c r="F22" i="10" s="1"/>
  <c r="H43" i="130"/>
  <c r="H30" i="130" s="1"/>
  <c r="H22" i="130" s="1"/>
  <c r="G30" i="11"/>
  <c r="G22" i="11" s="1"/>
  <c r="D30" i="130"/>
  <c r="G30" i="12"/>
  <c r="G22" i="12" s="1"/>
  <c r="E30" i="15"/>
  <c r="E22" i="15" s="1"/>
  <c r="K22" i="15" s="1"/>
  <c r="E30" i="11"/>
  <c r="E22" i="11" s="1"/>
  <c r="H30" i="4"/>
  <c r="H22" i="4" s="1"/>
  <c r="G30" i="17"/>
  <c r="G22" i="17" s="1"/>
  <c r="N30" i="15"/>
  <c r="N22" i="15" s="1"/>
  <c r="E30" i="9"/>
  <c r="E22" i="9" s="1"/>
  <c r="M43" i="125"/>
  <c r="Q43" i="78"/>
  <c r="Q30" i="78" s="1"/>
  <c r="Q22" i="78" s="1"/>
  <c r="F43" i="6"/>
  <c r="F30" i="6" s="1"/>
  <c r="F22" i="6" s="1"/>
  <c r="N43" i="9"/>
  <c r="O43" i="9"/>
  <c r="I30" i="65"/>
  <c r="I22" i="65" s="1"/>
  <c r="M43" i="122"/>
  <c r="I43" i="73"/>
  <c r="I30" i="73" s="1"/>
  <c r="I22" i="73" s="1"/>
  <c r="H30" i="7"/>
  <c r="H22" i="7" s="1"/>
  <c r="J22" i="8" s="1"/>
  <c r="G43" i="6"/>
  <c r="G30" i="6" s="1"/>
  <c r="G22" i="6" s="1"/>
  <c r="H43" i="9"/>
  <c r="H30" i="9" s="1"/>
  <c r="H22" i="9" s="1"/>
  <c r="L43" i="5"/>
  <c r="I43" i="9"/>
  <c r="J43" i="12"/>
  <c r="F35" i="63" s="1"/>
  <c r="Q43" i="65"/>
  <c r="C30" i="9"/>
  <c r="C22" i="9" s="1"/>
  <c r="F43" i="7"/>
  <c r="F30" i="7" s="1"/>
  <c r="F22" i="7" s="1"/>
  <c r="H22" i="8" s="1"/>
  <c r="F8" i="109"/>
  <c r="B8" i="109" s="1"/>
  <c r="O30" i="9" l="1"/>
  <c r="O22" i="9" s="1"/>
  <c r="F29" i="63"/>
  <c r="F31" i="63" s="1"/>
  <c r="I30" i="9"/>
  <c r="I22" i="9" s="1"/>
  <c r="F19" i="63"/>
  <c r="F20" i="63" s="1"/>
  <c r="Q22" i="83"/>
  <c r="C43" i="6"/>
  <c r="L30" i="5"/>
  <c r="L22" i="5" s="1"/>
  <c r="Q30" i="73"/>
  <c r="Q22" i="73" s="1"/>
  <c r="D43" i="7"/>
  <c r="D30" i="7" s="1"/>
  <c r="D22" i="7" s="1"/>
  <c r="F22" i="8" s="1"/>
  <c r="J30" i="12"/>
  <c r="J22" i="12" s="1"/>
  <c r="N30" i="9"/>
  <c r="N22" i="9" s="1"/>
  <c r="Q30" i="65"/>
  <c r="Q22" i="65" s="1"/>
  <c r="I30" i="78"/>
  <c r="I22" i="78" s="1"/>
  <c r="I30" i="7"/>
  <c r="I22" i="7" s="1"/>
  <c r="K22" i="8" s="1"/>
  <c r="F33" i="63" l="1"/>
  <c r="F30" i="63"/>
  <c r="E43" i="7"/>
  <c r="H43" i="6"/>
  <c r="F11" i="63" s="1"/>
  <c r="C30" i="6"/>
  <c r="C22" i="6" s="1"/>
  <c r="H30" i="6" l="1"/>
  <c r="H22" i="6" s="1"/>
  <c r="I43" i="6"/>
  <c r="F13" i="63" s="1"/>
  <c r="F15" i="63" s="1"/>
  <c r="E30" i="7"/>
  <c r="E22" i="7" s="1"/>
  <c r="G22" i="8" s="1"/>
  <c r="L41" i="101"/>
  <c r="M41" i="101"/>
  <c r="O41" i="101" s="1"/>
  <c r="G41" i="101"/>
  <c r="H41" i="101" s="1"/>
  <c r="I30" i="6" l="1"/>
  <c r="I22" i="6" s="1"/>
  <c r="J43" i="6"/>
  <c r="F16" i="63" s="1"/>
  <c r="I46" i="108"/>
  <c r="I43" i="108"/>
  <c r="I40" i="108"/>
  <c r="I39" i="108" s="1"/>
  <c r="I37" i="108"/>
  <c r="I36" i="108" s="1"/>
  <c r="I34" i="108"/>
  <c r="I30" i="108"/>
  <c r="I27" i="108"/>
  <c r="I16" i="108"/>
  <c r="I13" i="108"/>
  <c r="I10" i="108"/>
  <c r="C39" i="94"/>
  <c r="D39" i="94"/>
  <c r="E39" i="94" s="1"/>
  <c r="E78" i="63" s="1"/>
  <c r="D35" i="94"/>
  <c r="C35" i="94"/>
  <c r="D31" i="94"/>
  <c r="C31" i="94"/>
  <c r="D27" i="94"/>
  <c r="C27" i="94"/>
  <c r="D23" i="94"/>
  <c r="C23" i="94"/>
  <c r="D19" i="94"/>
  <c r="C19" i="94"/>
  <c r="D15" i="94"/>
  <c r="C15" i="94"/>
  <c r="E38" i="94"/>
  <c r="E37" i="94"/>
  <c r="E36" i="94"/>
  <c r="J30" i="6" l="1"/>
  <c r="J22" i="6" s="1"/>
  <c r="J43" i="7"/>
  <c r="C43" i="8"/>
  <c r="C30" i="8" s="1"/>
  <c r="C22" i="8" s="1"/>
  <c r="D22" i="8" s="1"/>
  <c r="J30" i="7" l="1"/>
  <c r="J22" i="7" s="1"/>
  <c r="I9" i="108"/>
  <c r="G41" i="97"/>
  <c r="I41" i="97" s="1"/>
  <c r="N41" i="97"/>
  <c r="I8" i="108" l="1"/>
  <c r="I50" i="108" s="1"/>
  <c r="I42" i="9"/>
  <c r="K42" i="5"/>
  <c r="O42" i="9"/>
  <c r="L42" i="9"/>
  <c r="E42" i="6"/>
  <c r="D42" i="6"/>
  <c r="N42" i="9"/>
  <c r="H42" i="4"/>
  <c r="J42" i="5"/>
  <c r="H42" i="5"/>
  <c r="K42" i="6"/>
  <c r="C42" i="7"/>
  <c r="E43" i="8" s="1"/>
  <c r="H42" i="107"/>
  <c r="F42" i="107"/>
  <c r="G42" i="130"/>
  <c r="D42" i="130"/>
  <c r="M42" i="120"/>
  <c r="G25" i="84"/>
  <c r="I25" i="84"/>
  <c r="J25" i="84"/>
  <c r="H25" i="84"/>
  <c r="D25" i="84"/>
  <c r="F42" i="9" l="1"/>
  <c r="D42" i="9"/>
  <c r="G42" i="7"/>
  <c r="I43" i="8" s="1"/>
  <c r="J42" i="9"/>
  <c r="Q42" i="73"/>
  <c r="J42" i="12"/>
  <c r="D42" i="7" s="1"/>
  <c r="F43" i="8" s="1"/>
  <c r="G42" i="6"/>
  <c r="Q42" i="78"/>
  <c r="I42" i="78"/>
  <c r="H42" i="130"/>
  <c r="M42" i="125"/>
  <c r="H42" i="9"/>
  <c r="J43" i="8"/>
  <c r="F42" i="6"/>
  <c r="I42" i="73"/>
  <c r="K42" i="9"/>
  <c r="E42" i="9"/>
  <c r="M42" i="9"/>
  <c r="M42" i="122"/>
  <c r="I42" i="65"/>
  <c r="Q42" i="65"/>
  <c r="L42" i="5"/>
  <c r="C42" i="6" s="1"/>
  <c r="H42" i="6" s="1"/>
  <c r="C42" i="9"/>
  <c r="G42" i="9"/>
  <c r="F42" i="7"/>
  <c r="H43" i="8" s="1"/>
  <c r="E42" i="7" l="1"/>
  <c r="G43" i="8" s="1"/>
  <c r="I42" i="6"/>
  <c r="I42" i="7"/>
  <c r="K43" i="8" s="1"/>
  <c r="J42" i="6" l="1"/>
  <c r="C42" i="8" l="1"/>
  <c r="D43" i="8" s="1"/>
  <c r="J42" i="7"/>
  <c r="F41" i="7" l="1"/>
  <c r="G41" i="7"/>
  <c r="L30" i="110"/>
  <c r="K30" i="110"/>
  <c r="J30" i="110"/>
  <c r="I30" i="110"/>
  <c r="H30" i="110"/>
  <c r="G30" i="110"/>
  <c r="F30" i="110"/>
  <c r="E30" i="110"/>
  <c r="D30" i="110"/>
  <c r="C30" i="110"/>
  <c r="N30" i="122"/>
  <c r="L30" i="122"/>
  <c r="K30" i="122"/>
  <c r="J30" i="122"/>
  <c r="I30" i="122"/>
  <c r="H30" i="122"/>
  <c r="G30" i="122"/>
  <c r="F30" i="122"/>
  <c r="E30" i="122"/>
  <c r="D30" i="122"/>
  <c r="C30" i="122"/>
  <c r="N30" i="125"/>
  <c r="L30" i="125"/>
  <c r="K30" i="125"/>
  <c r="J30" i="125"/>
  <c r="I30" i="125"/>
  <c r="H30" i="125"/>
  <c r="G30" i="125"/>
  <c r="F30" i="125"/>
  <c r="E30" i="125"/>
  <c r="D30" i="125"/>
  <c r="C30" i="125"/>
  <c r="J41" i="5"/>
  <c r="H41" i="5"/>
  <c r="K41" i="6"/>
  <c r="C41" i="7"/>
  <c r="O41" i="9"/>
  <c r="J41" i="12"/>
  <c r="D41" i="6"/>
  <c r="H41" i="107"/>
  <c r="F41" i="107"/>
  <c r="G41" i="130"/>
  <c r="D41" i="130"/>
  <c r="M41" i="120"/>
  <c r="H41" i="4"/>
  <c r="M30" i="120" l="1"/>
  <c r="G41" i="6"/>
  <c r="H42" i="8"/>
  <c r="E41" i="6"/>
  <c r="I41" i="9"/>
  <c r="I42" i="8"/>
  <c r="E42" i="8"/>
  <c r="D41" i="7"/>
  <c r="E41" i="7" s="1"/>
  <c r="F41" i="9"/>
  <c r="M41" i="9"/>
  <c r="L41" i="9"/>
  <c r="K41" i="9"/>
  <c r="J41" i="9"/>
  <c r="F41" i="6"/>
  <c r="C41" i="9"/>
  <c r="N41" i="9"/>
  <c r="I41" i="78"/>
  <c r="Q41" i="78"/>
  <c r="H41" i="130"/>
  <c r="I41" i="73"/>
  <c r="I41" i="65"/>
  <c r="Q41" i="65"/>
  <c r="G41" i="9"/>
  <c r="M41" i="125"/>
  <c r="M30" i="125" s="1"/>
  <c r="M41" i="122"/>
  <c r="M30" i="122" s="1"/>
  <c r="D41" i="9"/>
  <c r="H41" i="9"/>
  <c r="Q41" i="73"/>
  <c r="E41" i="9"/>
  <c r="K41" i="5"/>
  <c r="F42" i="8" l="1"/>
  <c r="G42" i="8"/>
  <c r="J42" i="8"/>
  <c r="L41" i="5"/>
  <c r="I41" i="7"/>
  <c r="C41" i="6" l="1"/>
  <c r="K42" i="8"/>
  <c r="F36" i="93"/>
  <c r="E103" i="63"/>
  <c r="E102" i="63"/>
  <c r="E100" i="63"/>
  <c r="E99" i="63"/>
  <c r="E98" i="63"/>
  <c r="E97" i="63"/>
  <c r="E95" i="63"/>
  <c r="E94" i="63"/>
  <c r="E51" i="63"/>
  <c r="E50" i="63"/>
  <c r="E105" i="63" l="1"/>
  <c r="F104" i="63"/>
  <c r="H41" i="6"/>
  <c r="N40" i="9"/>
  <c r="I41" i="6" l="1"/>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E29" i="107"/>
  <c r="D29" i="107"/>
  <c r="C29" i="107"/>
  <c r="F29" i="90"/>
  <c r="E29" i="90"/>
  <c r="D29" i="90"/>
  <c r="L29" i="120"/>
  <c r="K29" i="120"/>
  <c r="J29" i="120"/>
  <c r="I29" i="120"/>
  <c r="H29" i="120"/>
  <c r="G29" i="120"/>
  <c r="F29" i="120"/>
  <c r="E29" i="120"/>
  <c r="D29" i="120"/>
  <c r="C29" i="120"/>
  <c r="O29" i="4"/>
  <c r="N29" i="4"/>
  <c r="M29" i="4"/>
  <c r="L29" i="4"/>
  <c r="K29" i="4"/>
  <c r="J29" i="4"/>
  <c r="I29" i="4"/>
  <c r="G29" i="4"/>
  <c r="F29" i="4"/>
  <c r="E29" i="4"/>
  <c r="D29" i="4"/>
  <c r="C29" i="4"/>
  <c r="I29" i="5"/>
  <c r="G29" i="5"/>
  <c r="F29" i="5"/>
  <c r="E29" i="5"/>
  <c r="D29" i="5"/>
  <c r="C29" i="5"/>
  <c r="L29" i="79"/>
  <c r="K29" i="79"/>
  <c r="J29" i="79"/>
  <c r="I29" i="79"/>
  <c r="H29" i="79"/>
  <c r="G29" i="79"/>
  <c r="F29" i="79"/>
  <c r="E29" i="79"/>
  <c r="D29" i="79"/>
  <c r="C29" i="79"/>
  <c r="Q29" i="80"/>
  <c r="C29" i="128"/>
  <c r="F29" i="130"/>
  <c r="E29" i="130"/>
  <c r="C29" i="130"/>
  <c r="K29" i="90"/>
  <c r="I29" i="90"/>
  <c r="H29" i="90"/>
  <c r="C29" i="90"/>
  <c r="J29" i="121"/>
  <c r="I29" i="121"/>
  <c r="H29" i="121"/>
  <c r="G29" i="121"/>
  <c r="F29" i="121"/>
  <c r="E29" i="121"/>
  <c r="D29" i="121"/>
  <c r="C29" i="121"/>
  <c r="S29" i="80"/>
  <c r="P29" i="80"/>
  <c r="O29" i="80"/>
  <c r="N29" i="80"/>
  <c r="M29" i="80"/>
  <c r="L29" i="80"/>
  <c r="J29" i="80"/>
  <c r="I29" i="80"/>
  <c r="H29" i="80"/>
  <c r="G29" i="80"/>
  <c r="E29" i="80"/>
  <c r="D29" i="80"/>
  <c r="C29" i="80"/>
  <c r="S29" i="128"/>
  <c r="R29" i="128"/>
  <c r="Q29" i="128"/>
  <c r="P29" i="128"/>
  <c r="O29" i="128"/>
  <c r="N29" i="128"/>
  <c r="M29" i="128"/>
  <c r="L29" i="128"/>
  <c r="K29" i="128"/>
  <c r="J29" i="128"/>
  <c r="I29" i="128"/>
  <c r="H29" i="128"/>
  <c r="G29" i="128"/>
  <c r="F29" i="128"/>
  <c r="E29" i="128"/>
  <c r="D29" i="128"/>
  <c r="M29" i="10"/>
  <c r="K29" i="10"/>
  <c r="J29" i="10"/>
  <c r="H29" i="10"/>
  <c r="G29" i="10"/>
  <c r="E29" i="10"/>
  <c r="C29" i="10"/>
  <c r="L29" i="11"/>
  <c r="K29" i="11"/>
  <c r="J29" i="11"/>
  <c r="H29" i="11"/>
  <c r="F29" i="11"/>
  <c r="E29" i="11"/>
  <c r="D29" i="11"/>
  <c r="C29" i="11"/>
  <c r="I29" i="12"/>
  <c r="H29" i="12"/>
  <c r="G29" i="12"/>
  <c r="F29" i="12"/>
  <c r="E29" i="12"/>
  <c r="D29" i="12"/>
  <c r="C29" i="12"/>
  <c r="N29" i="13"/>
  <c r="M29" i="13"/>
  <c r="L29" i="13"/>
  <c r="K29" i="13"/>
  <c r="J29" i="13"/>
  <c r="I29" i="13"/>
  <c r="H29" i="13"/>
  <c r="G29" i="13"/>
  <c r="F29" i="13"/>
  <c r="E29" i="13"/>
  <c r="D29" i="13"/>
  <c r="C29" i="13"/>
  <c r="N29" i="14"/>
  <c r="M29" i="14"/>
  <c r="L29" i="14"/>
  <c r="K29" i="14"/>
  <c r="J29" i="14"/>
  <c r="I29" i="14"/>
  <c r="H29" i="14"/>
  <c r="G29" i="14"/>
  <c r="F29" i="14"/>
  <c r="E29" i="14"/>
  <c r="D29" i="14"/>
  <c r="C29" i="14"/>
  <c r="Q29" i="15"/>
  <c r="P29" i="15"/>
  <c r="O29" i="15"/>
  <c r="N29" i="15"/>
  <c r="M29" i="15"/>
  <c r="L29" i="15"/>
  <c r="J29" i="15"/>
  <c r="I29" i="15"/>
  <c r="H29" i="15"/>
  <c r="G29" i="15"/>
  <c r="F29" i="15"/>
  <c r="E29" i="15"/>
  <c r="D29" i="15"/>
  <c r="C29" i="15"/>
  <c r="K29" i="102"/>
  <c r="J29" i="102"/>
  <c r="I29" i="102"/>
  <c r="H29" i="102"/>
  <c r="G29" i="102"/>
  <c r="F29" i="102"/>
  <c r="E29" i="102"/>
  <c r="D29" i="102"/>
  <c r="C29" i="102"/>
  <c r="P29" i="65"/>
  <c r="O29" i="65"/>
  <c r="N29" i="65"/>
  <c r="M29" i="65"/>
  <c r="K29" i="65"/>
  <c r="J29" i="65"/>
  <c r="H29" i="65"/>
  <c r="G29" i="65"/>
  <c r="F29" i="65"/>
  <c r="E29" i="65"/>
  <c r="C29" i="65"/>
  <c r="Q29" i="64"/>
  <c r="P29" i="64"/>
  <c r="O29" i="64"/>
  <c r="N29" i="64"/>
  <c r="M29" i="64"/>
  <c r="L29" i="64"/>
  <c r="K29" i="64"/>
  <c r="J29" i="64"/>
  <c r="I29" i="64"/>
  <c r="H29" i="64"/>
  <c r="G29" i="64"/>
  <c r="F29" i="64"/>
  <c r="E29" i="64"/>
  <c r="D29" i="64"/>
  <c r="C29" i="64"/>
  <c r="K29" i="61"/>
  <c r="J29" i="61"/>
  <c r="I29" i="61"/>
  <c r="H29" i="61"/>
  <c r="G29" i="61"/>
  <c r="F29" i="61"/>
  <c r="E29" i="61"/>
  <c r="D29" i="61"/>
  <c r="C29" i="61"/>
  <c r="P29" i="105"/>
  <c r="O29" i="105"/>
  <c r="N29" i="105"/>
  <c r="M29" i="105"/>
  <c r="L29" i="105"/>
  <c r="K29" i="105"/>
  <c r="J29" i="105"/>
  <c r="I29" i="105"/>
  <c r="H29" i="105"/>
  <c r="G29" i="105"/>
  <c r="F29" i="105"/>
  <c r="E29" i="105"/>
  <c r="D29" i="105"/>
  <c r="C29" i="105"/>
  <c r="P29" i="106"/>
  <c r="N29" i="106"/>
  <c r="M29" i="106"/>
  <c r="L29" i="106"/>
  <c r="K29" i="106"/>
  <c r="J29" i="106"/>
  <c r="I29" i="106"/>
  <c r="H29" i="106"/>
  <c r="G29" i="106"/>
  <c r="F29" i="106"/>
  <c r="E29" i="106"/>
  <c r="D29" i="106"/>
  <c r="C29" i="106"/>
  <c r="O29" i="17"/>
  <c r="M29" i="17"/>
  <c r="L29" i="17"/>
  <c r="K29" i="17"/>
  <c r="J29" i="17"/>
  <c r="I29" i="17"/>
  <c r="H29" i="17"/>
  <c r="F29" i="17"/>
  <c r="E29" i="17"/>
  <c r="D29" i="17"/>
  <c r="C29" i="17"/>
  <c r="O29" i="18"/>
  <c r="N29" i="18"/>
  <c r="M29" i="18"/>
  <c r="L29" i="18"/>
  <c r="K29" i="18"/>
  <c r="J29" i="18"/>
  <c r="I29" i="18"/>
  <c r="H29" i="18"/>
  <c r="G29" i="18"/>
  <c r="F29" i="18"/>
  <c r="E29" i="18"/>
  <c r="D29" i="18"/>
  <c r="C29" i="18"/>
  <c r="P29" i="73"/>
  <c r="O29" i="73"/>
  <c r="N29" i="73"/>
  <c r="M29" i="73"/>
  <c r="L29" i="73"/>
  <c r="K29" i="73"/>
  <c r="J29" i="73"/>
  <c r="H29" i="73"/>
  <c r="G29" i="73"/>
  <c r="F29" i="73"/>
  <c r="E29" i="73"/>
  <c r="Q29" i="72"/>
  <c r="P29" i="72"/>
  <c r="O29" i="72"/>
  <c r="N29" i="72"/>
  <c r="M29" i="72"/>
  <c r="L29" i="72"/>
  <c r="K29" i="72"/>
  <c r="J29" i="72"/>
  <c r="I29" i="72"/>
  <c r="H29" i="72"/>
  <c r="G29" i="72"/>
  <c r="F29" i="72"/>
  <c r="E29" i="72"/>
  <c r="D29" i="72"/>
  <c r="C29" i="72"/>
  <c r="P29" i="75"/>
  <c r="N29" i="75"/>
  <c r="M29" i="75"/>
  <c r="L29" i="75"/>
  <c r="K29" i="75"/>
  <c r="J29" i="75"/>
  <c r="I29" i="75"/>
  <c r="H29" i="75"/>
  <c r="G29" i="75"/>
  <c r="F29" i="75"/>
  <c r="E29" i="75"/>
  <c r="D29" i="75"/>
  <c r="C29" i="75"/>
  <c r="P29" i="74"/>
  <c r="O29" i="74"/>
  <c r="N29" i="74"/>
  <c r="M29" i="74"/>
  <c r="K29" i="74"/>
  <c r="J29" i="74"/>
  <c r="I29" i="74"/>
  <c r="H29" i="74"/>
  <c r="G29" i="74"/>
  <c r="F29" i="74"/>
  <c r="E29" i="74"/>
  <c r="D29" i="74"/>
  <c r="C29" i="74"/>
  <c r="P29" i="78"/>
  <c r="O29" i="78"/>
  <c r="N29" i="78"/>
  <c r="M29" i="78"/>
  <c r="L29" i="78"/>
  <c r="K29" i="78"/>
  <c r="H29" i="78"/>
  <c r="G29" i="78"/>
  <c r="F29" i="78"/>
  <c r="E29" i="78"/>
  <c r="D29" i="78"/>
  <c r="C29" i="78"/>
  <c r="Q29" i="77"/>
  <c r="P29" i="77"/>
  <c r="O29" i="77"/>
  <c r="N29" i="77"/>
  <c r="M29" i="77"/>
  <c r="L29" i="77"/>
  <c r="K29" i="77"/>
  <c r="J29" i="77"/>
  <c r="I29" i="77"/>
  <c r="H29" i="77"/>
  <c r="G29" i="77"/>
  <c r="F29" i="77"/>
  <c r="E29" i="77"/>
  <c r="D29" i="77"/>
  <c r="C29" i="77"/>
  <c r="M29" i="110"/>
  <c r="J40" i="5"/>
  <c r="J29" i="5" s="1"/>
  <c r="H40" i="5"/>
  <c r="H29" i="5" s="1"/>
  <c r="K40" i="6"/>
  <c r="K29" i="6" s="1"/>
  <c r="C40" i="7"/>
  <c r="G40" i="7"/>
  <c r="D40" i="6"/>
  <c r="D29" i="6" s="1"/>
  <c r="H40" i="107"/>
  <c r="F40" i="107"/>
  <c r="G40" i="130"/>
  <c r="G29" i="130" s="1"/>
  <c r="D40" i="130"/>
  <c r="D29" i="130" s="1"/>
  <c r="M40" i="120"/>
  <c r="H40" i="4"/>
  <c r="L22" i="107" l="1"/>
  <c r="J41" i="6"/>
  <c r="C29" i="7"/>
  <c r="E30" i="8" s="1"/>
  <c r="E41" i="8"/>
  <c r="G29" i="7"/>
  <c r="I30" i="8" s="1"/>
  <c r="I41" i="8"/>
  <c r="F29" i="107"/>
  <c r="L29" i="65"/>
  <c r="Q40" i="65"/>
  <c r="D29" i="65"/>
  <c r="I40" i="65"/>
  <c r="E9" i="63"/>
  <c r="D29" i="73"/>
  <c r="I40" i="73"/>
  <c r="G29" i="17"/>
  <c r="G40" i="9"/>
  <c r="I40" i="9"/>
  <c r="I40" i="78"/>
  <c r="I29" i="78" s="1"/>
  <c r="H40" i="9"/>
  <c r="H29" i="9" s="1"/>
  <c r="C29" i="73"/>
  <c r="F29" i="80"/>
  <c r="E55" i="63"/>
  <c r="R29" i="80"/>
  <c r="E53" i="63"/>
  <c r="K29" i="80"/>
  <c r="E54" i="63"/>
  <c r="O29" i="75"/>
  <c r="E25" i="63"/>
  <c r="E26" i="63" s="1"/>
  <c r="N29" i="17"/>
  <c r="E23" i="63"/>
  <c r="E24" i="63" s="1"/>
  <c r="L29" i="102"/>
  <c r="E38" i="63"/>
  <c r="E39" i="63" s="1"/>
  <c r="K29" i="15"/>
  <c r="E36" i="63"/>
  <c r="E37" i="63" s="1"/>
  <c r="L29" i="10"/>
  <c r="E21" i="63"/>
  <c r="E22" i="63" s="1"/>
  <c r="G29" i="11"/>
  <c r="M40" i="9"/>
  <c r="M29" i="9" s="1"/>
  <c r="F29" i="10"/>
  <c r="D40" i="9"/>
  <c r="D29" i="9" s="1"/>
  <c r="I29" i="11"/>
  <c r="N29" i="9"/>
  <c r="I29" i="10"/>
  <c r="F40" i="9"/>
  <c r="F29" i="9" s="1"/>
  <c r="D29" i="10"/>
  <c r="H29" i="107"/>
  <c r="M40" i="125"/>
  <c r="J29" i="78"/>
  <c r="O29" i="106"/>
  <c r="L29" i="74"/>
  <c r="H29" i="4"/>
  <c r="H40" i="130"/>
  <c r="H29" i="130" s="1"/>
  <c r="J40" i="9"/>
  <c r="J29" i="9" s="1"/>
  <c r="F40" i="6"/>
  <c r="F29" i="6" s="1"/>
  <c r="M40" i="122"/>
  <c r="Q40" i="78"/>
  <c r="K40" i="9"/>
  <c r="K29" i="9" s="1"/>
  <c r="L40" i="9"/>
  <c r="L29" i="9" s="1"/>
  <c r="O40" i="9"/>
  <c r="F40" i="7"/>
  <c r="H41" i="8" s="1"/>
  <c r="G40" i="6"/>
  <c r="G29" i="6" s="1"/>
  <c r="C40" i="9"/>
  <c r="C29" i="9" s="1"/>
  <c r="Q40" i="73"/>
  <c r="E40" i="9"/>
  <c r="E29" i="9" s="1"/>
  <c r="E40" i="6"/>
  <c r="J40" i="12"/>
  <c r="E35" i="63" s="1"/>
  <c r="K40" i="5"/>
  <c r="L39" i="101"/>
  <c r="M39" i="101" s="1"/>
  <c r="L40" i="101"/>
  <c r="M40" i="101" s="1"/>
  <c r="G39" i="101"/>
  <c r="H39" i="101" s="1"/>
  <c r="G40" i="101"/>
  <c r="H40" i="101" s="1"/>
  <c r="H46" i="108"/>
  <c r="H43" i="108"/>
  <c r="H40" i="108"/>
  <c r="H37" i="108"/>
  <c r="H34" i="108"/>
  <c r="H30" i="108"/>
  <c r="H27" i="108"/>
  <c r="H16" i="108"/>
  <c r="H13" i="108"/>
  <c r="H10" i="108"/>
  <c r="N40" i="97"/>
  <c r="G40" i="97"/>
  <c r="I40" i="97" s="1"/>
  <c r="K39" i="5"/>
  <c r="H39" i="4"/>
  <c r="G39" i="7"/>
  <c r="I40" i="8" s="1"/>
  <c r="E39" i="6"/>
  <c r="D39" i="6"/>
  <c r="G39" i="6"/>
  <c r="J39" i="5"/>
  <c r="H39" i="5"/>
  <c r="K39" i="6"/>
  <c r="C39" i="7"/>
  <c r="E40" i="8" s="1"/>
  <c r="H39" i="107"/>
  <c r="F39" i="107"/>
  <c r="G39" i="130"/>
  <c r="D39" i="130"/>
  <c r="M39" i="120"/>
  <c r="E34" i="94"/>
  <c r="E33" i="94"/>
  <c r="E32" i="94"/>
  <c r="G38" i="7"/>
  <c r="E38" i="6"/>
  <c r="D38" i="6"/>
  <c r="E29" i="110"/>
  <c r="J29" i="125"/>
  <c r="F29" i="125"/>
  <c r="H38" i="4"/>
  <c r="J38" i="5"/>
  <c r="H38" i="5"/>
  <c r="K38" i="6"/>
  <c r="C38" i="7"/>
  <c r="H38" i="107"/>
  <c r="F38" i="107"/>
  <c r="G38" i="130"/>
  <c r="D38" i="130"/>
  <c r="M38" i="120"/>
  <c r="N28" i="77"/>
  <c r="K28" i="78"/>
  <c r="O28" i="74"/>
  <c r="N28" i="74"/>
  <c r="I28" i="74"/>
  <c r="M28" i="75"/>
  <c r="O28" i="75"/>
  <c r="E28" i="72"/>
  <c r="G28" i="72"/>
  <c r="P28" i="73"/>
  <c r="L28" i="18"/>
  <c r="J28" i="17"/>
  <c r="E28" i="17"/>
  <c r="Q28" i="64"/>
  <c r="M28" i="64"/>
  <c r="I28" i="64"/>
  <c r="E28" i="64"/>
  <c r="D28" i="64"/>
  <c r="K28" i="64"/>
  <c r="G28" i="15"/>
  <c r="J28" i="15"/>
  <c r="C28" i="14"/>
  <c r="J28" i="13"/>
  <c r="G28" i="13"/>
  <c r="H28" i="12"/>
  <c r="C28" i="12"/>
  <c r="J28" i="10"/>
  <c r="F35" i="93"/>
  <c r="P28" i="65"/>
  <c r="O28" i="65"/>
  <c r="N28" i="65"/>
  <c r="M28" i="65"/>
  <c r="L28" i="65"/>
  <c r="K28" i="65"/>
  <c r="H28" i="65"/>
  <c r="G28" i="65"/>
  <c r="F28" i="65"/>
  <c r="E28" i="65"/>
  <c r="D28" i="65"/>
  <c r="C28" i="65"/>
  <c r="P28" i="64"/>
  <c r="O28" i="64"/>
  <c r="N28" i="64"/>
  <c r="L28" i="64"/>
  <c r="H28" i="64"/>
  <c r="G28" i="64"/>
  <c r="F28" i="64"/>
  <c r="C28" i="64"/>
  <c r="K28" i="61"/>
  <c r="J28" i="61"/>
  <c r="I28" i="61"/>
  <c r="H28" i="61"/>
  <c r="G28" i="61"/>
  <c r="F28" i="61"/>
  <c r="E28" i="61"/>
  <c r="D28" i="61"/>
  <c r="C28" i="61"/>
  <c r="P28" i="105"/>
  <c r="O28" i="105"/>
  <c r="N28" i="105"/>
  <c r="M28" i="105"/>
  <c r="L28" i="105"/>
  <c r="J28" i="105"/>
  <c r="I28" i="105"/>
  <c r="H28" i="105"/>
  <c r="G28" i="105"/>
  <c r="F28" i="105"/>
  <c r="E28" i="105"/>
  <c r="D28" i="105"/>
  <c r="P28" i="106"/>
  <c r="O28" i="106"/>
  <c r="N28" i="106"/>
  <c r="M28" i="106"/>
  <c r="L28" i="106"/>
  <c r="K28" i="106"/>
  <c r="J28" i="106"/>
  <c r="G28" i="106"/>
  <c r="F28" i="106"/>
  <c r="E28" i="106"/>
  <c r="D28" i="106"/>
  <c r="C28" i="106"/>
  <c r="O28" i="17"/>
  <c r="N28" i="17"/>
  <c r="L28" i="17"/>
  <c r="K28" i="17"/>
  <c r="I28" i="17"/>
  <c r="H28" i="17"/>
  <c r="G28" i="17"/>
  <c r="F28" i="17"/>
  <c r="D28" i="17"/>
  <c r="O28" i="18"/>
  <c r="N28" i="18"/>
  <c r="M28" i="18"/>
  <c r="K28" i="18"/>
  <c r="J28" i="18"/>
  <c r="I28" i="18"/>
  <c r="H28" i="18"/>
  <c r="F28" i="18"/>
  <c r="E28" i="18"/>
  <c r="D28" i="18"/>
  <c r="C28" i="18"/>
  <c r="O28" i="73"/>
  <c r="N28" i="73"/>
  <c r="M28" i="73"/>
  <c r="L28" i="73"/>
  <c r="K28" i="73"/>
  <c r="H28" i="73"/>
  <c r="G28" i="73"/>
  <c r="F28" i="73"/>
  <c r="E28" i="73"/>
  <c r="D28" i="73"/>
  <c r="C28" i="73"/>
  <c r="Q28" i="72"/>
  <c r="P28" i="72"/>
  <c r="N28" i="72"/>
  <c r="M28" i="72"/>
  <c r="L28" i="72"/>
  <c r="K28" i="72"/>
  <c r="J28" i="72"/>
  <c r="I28" i="72"/>
  <c r="F28" i="72"/>
  <c r="D28" i="72"/>
  <c r="C28" i="72"/>
  <c r="P28" i="75"/>
  <c r="L28" i="75"/>
  <c r="K28" i="75"/>
  <c r="J28" i="75"/>
  <c r="H28" i="75"/>
  <c r="G28" i="75"/>
  <c r="F28" i="75"/>
  <c r="E28" i="75"/>
  <c r="C28" i="75"/>
  <c r="P28" i="74"/>
  <c r="L28" i="74"/>
  <c r="K28" i="74"/>
  <c r="J28" i="74"/>
  <c r="H28" i="74"/>
  <c r="G28" i="74"/>
  <c r="F28" i="74"/>
  <c r="E28" i="74"/>
  <c r="C28" i="74"/>
  <c r="P28" i="78"/>
  <c r="O28" i="78"/>
  <c r="N28" i="78"/>
  <c r="M28" i="78"/>
  <c r="L28" i="78"/>
  <c r="H28" i="78"/>
  <c r="G28" i="78"/>
  <c r="F28" i="78"/>
  <c r="E28" i="78"/>
  <c r="D28" i="78"/>
  <c r="C28" i="78"/>
  <c r="Q28" i="77"/>
  <c r="P28" i="77"/>
  <c r="O28" i="77"/>
  <c r="M28" i="77"/>
  <c r="L28" i="77"/>
  <c r="K28" i="77"/>
  <c r="I28" i="77"/>
  <c r="H28" i="77"/>
  <c r="G28" i="77"/>
  <c r="F28" i="77"/>
  <c r="E28" i="77"/>
  <c r="D28" i="77"/>
  <c r="C28" i="77"/>
  <c r="S28" i="128"/>
  <c r="R28" i="128"/>
  <c r="Q28" i="128"/>
  <c r="P28" i="128"/>
  <c r="O28" i="128"/>
  <c r="N28" i="128"/>
  <c r="M28" i="128"/>
  <c r="L28" i="128"/>
  <c r="K28" i="128"/>
  <c r="J28" i="128"/>
  <c r="I28" i="128"/>
  <c r="H28" i="128"/>
  <c r="G28" i="128"/>
  <c r="F28" i="128"/>
  <c r="E28" i="128"/>
  <c r="D28" i="128"/>
  <c r="C28" i="128"/>
  <c r="S28" i="80"/>
  <c r="D53" i="63"/>
  <c r="P28" i="80"/>
  <c r="O28" i="80"/>
  <c r="N28" i="80"/>
  <c r="M28" i="80"/>
  <c r="L28" i="80"/>
  <c r="D54" i="63"/>
  <c r="J28" i="80"/>
  <c r="I28" i="80"/>
  <c r="H28" i="80"/>
  <c r="G28" i="80"/>
  <c r="D55" i="63"/>
  <c r="E28" i="80"/>
  <c r="D28" i="80"/>
  <c r="C28" i="80"/>
  <c r="M28" i="10"/>
  <c r="D21" i="63"/>
  <c r="D22" i="63" s="1"/>
  <c r="K28" i="10"/>
  <c r="H28" i="10"/>
  <c r="E28" i="10"/>
  <c r="D28" i="10"/>
  <c r="K37" i="5"/>
  <c r="K28" i="5" s="1"/>
  <c r="L28" i="11"/>
  <c r="K28" i="11"/>
  <c r="G28" i="11"/>
  <c r="E28" i="11"/>
  <c r="D28" i="11"/>
  <c r="G28" i="12"/>
  <c r="F28" i="12"/>
  <c r="E28" i="12"/>
  <c r="N28" i="13"/>
  <c r="M28" i="13"/>
  <c r="L28" i="13"/>
  <c r="K28" i="13"/>
  <c r="F28" i="13"/>
  <c r="E28" i="13"/>
  <c r="D28" i="13"/>
  <c r="C28" i="13"/>
  <c r="N28" i="14"/>
  <c r="M28" i="14"/>
  <c r="L28" i="14"/>
  <c r="J28" i="14"/>
  <c r="I28" i="14"/>
  <c r="H28" i="14"/>
  <c r="G28" i="14"/>
  <c r="F28" i="14"/>
  <c r="E28" i="14"/>
  <c r="Q28" i="15"/>
  <c r="O28" i="15"/>
  <c r="N28" i="15"/>
  <c r="M28" i="15"/>
  <c r="L28" i="15"/>
  <c r="K28" i="15"/>
  <c r="E28" i="15"/>
  <c r="D28" i="15"/>
  <c r="C28" i="15"/>
  <c r="L28" i="102"/>
  <c r="C38" i="98" s="1"/>
  <c r="K28" i="102"/>
  <c r="J28" i="102"/>
  <c r="H28" i="102"/>
  <c r="G28" i="102"/>
  <c r="F28" i="102"/>
  <c r="E28" i="102"/>
  <c r="D28" i="102"/>
  <c r="C28" i="102"/>
  <c r="D103" i="63"/>
  <c r="D102" i="63"/>
  <c r="D100" i="63"/>
  <c r="D99" i="63"/>
  <c r="D98" i="63"/>
  <c r="D97" i="63"/>
  <c r="D95" i="63"/>
  <c r="D94" i="63"/>
  <c r="D51" i="63"/>
  <c r="D50" i="63"/>
  <c r="H37" i="4"/>
  <c r="D9" i="63" s="1"/>
  <c r="J37" i="107"/>
  <c r="M28" i="110"/>
  <c r="N28" i="83"/>
  <c r="M28" i="83"/>
  <c r="K28" i="83"/>
  <c r="J28" i="83"/>
  <c r="G28" i="83"/>
  <c r="F28" i="83"/>
  <c r="D28" i="83"/>
  <c r="C28" i="83"/>
  <c r="N28" i="119"/>
  <c r="M28" i="119"/>
  <c r="L28" i="119"/>
  <c r="K28" i="119"/>
  <c r="J28" i="119"/>
  <c r="I28" i="119"/>
  <c r="H28" i="119"/>
  <c r="G28" i="119"/>
  <c r="F28" i="119"/>
  <c r="E28" i="119"/>
  <c r="D28" i="119"/>
  <c r="C28" i="119"/>
  <c r="L28" i="107"/>
  <c r="K28" i="107"/>
  <c r="I28" i="107"/>
  <c r="G28" i="107"/>
  <c r="E28" i="107"/>
  <c r="D28" i="107"/>
  <c r="C28" i="107"/>
  <c r="L28" i="120"/>
  <c r="K28" i="120"/>
  <c r="J28" i="120"/>
  <c r="I28" i="120"/>
  <c r="H28" i="120"/>
  <c r="G28" i="120"/>
  <c r="F28" i="120"/>
  <c r="E28" i="120"/>
  <c r="D28" i="120"/>
  <c r="C28" i="120"/>
  <c r="F28" i="90"/>
  <c r="E28" i="90"/>
  <c r="D28" i="90"/>
  <c r="O28" i="4"/>
  <c r="N28" i="4"/>
  <c r="M28" i="4"/>
  <c r="L28" i="4"/>
  <c r="K28" i="4"/>
  <c r="J28" i="4"/>
  <c r="I28" i="4"/>
  <c r="G28" i="4"/>
  <c r="F28" i="4"/>
  <c r="E28" i="4"/>
  <c r="D28" i="4"/>
  <c r="C28" i="4"/>
  <c r="I28" i="5"/>
  <c r="G28" i="5"/>
  <c r="F28" i="5"/>
  <c r="E28" i="5"/>
  <c r="D28" i="5"/>
  <c r="C28" i="5"/>
  <c r="L28" i="79"/>
  <c r="K28" i="79"/>
  <c r="J28" i="79"/>
  <c r="I28" i="79"/>
  <c r="H28" i="79"/>
  <c r="G28" i="79"/>
  <c r="F28" i="79"/>
  <c r="E28" i="79"/>
  <c r="D28" i="79"/>
  <c r="C28" i="79"/>
  <c r="Q28" i="80"/>
  <c r="F28" i="130"/>
  <c r="E28" i="130"/>
  <c r="C28" i="130"/>
  <c r="J28" i="121"/>
  <c r="I28" i="121"/>
  <c r="H28" i="121"/>
  <c r="G28" i="121"/>
  <c r="F28" i="121"/>
  <c r="E28" i="121"/>
  <c r="D28" i="121"/>
  <c r="C28" i="121"/>
  <c r="K28" i="90"/>
  <c r="I28" i="90"/>
  <c r="H28" i="90"/>
  <c r="C28" i="90"/>
  <c r="J37" i="5"/>
  <c r="J28" i="5" s="1"/>
  <c r="H37" i="5"/>
  <c r="H28" i="5" s="1"/>
  <c r="K37" i="6"/>
  <c r="K28" i="6" s="1"/>
  <c r="C37" i="7"/>
  <c r="C28" i="7" s="1"/>
  <c r="E29" i="8" s="1"/>
  <c r="H37" i="107"/>
  <c r="F37" i="107"/>
  <c r="G37" i="130"/>
  <c r="G28" i="130" s="1"/>
  <c r="D37" i="130"/>
  <c r="M37" i="120"/>
  <c r="L14" i="83"/>
  <c r="L15" i="83" s="1"/>
  <c r="L16" i="83" s="1"/>
  <c r="L17" i="83" s="1"/>
  <c r="L18" i="83" s="1"/>
  <c r="L19" i="83" s="1"/>
  <c r="N39" i="97"/>
  <c r="N38" i="97"/>
  <c r="G38" i="97"/>
  <c r="I38" i="97" s="1"/>
  <c r="G39" i="97"/>
  <c r="I39" i="97" s="1"/>
  <c r="E36" i="6"/>
  <c r="D36" i="6"/>
  <c r="G36" i="7"/>
  <c r="J36" i="5"/>
  <c r="H36" i="5"/>
  <c r="K36" i="6"/>
  <c r="C36" i="7"/>
  <c r="H36" i="107"/>
  <c r="F36" i="107"/>
  <c r="G36" i="130"/>
  <c r="D36" i="130"/>
  <c r="M36" i="120"/>
  <c r="H36" i="4"/>
  <c r="G37" i="108"/>
  <c r="G34" i="108"/>
  <c r="G46" i="108"/>
  <c r="G43" i="108"/>
  <c r="G40" i="108"/>
  <c r="G30" i="108"/>
  <c r="G27" i="108"/>
  <c r="G16" i="108"/>
  <c r="G13" i="108"/>
  <c r="G10" i="108"/>
  <c r="E31" i="94"/>
  <c r="C78" i="63" s="1"/>
  <c r="E30" i="94"/>
  <c r="E29" i="94"/>
  <c r="E28" i="94"/>
  <c r="G39" i="108"/>
  <c r="G36" i="108" s="1"/>
  <c r="G35" i="7"/>
  <c r="K35" i="5"/>
  <c r="E35" i="6"/>
  <c r="D35" i="6"/>
  <c r="J35" i="5"/>
  <c r="H35" i="5"/>
  <c r="K35" i="6"/>
  <c r="C35" i="7"/>
  <c r="H35" i="107"/>
  <c r="F35" i="107"/>
  <c r="G35" i="130"/>
  <c r="D35" i="130"/>
  <c r="M35" i="120"/>
  <c r="H35" i="4"/>
  <c r="L38" i="101"/>
  <c r="M38" i="101" s="1"/>
  <c r="G38" i="101"/>
  <c r="H38" i="101" s="1"/>
  <c r="G19" i="130"/>
  <c r="H19" i="130" s="1"/>
  <c r="G18" i="130"/>
  <c r="H18" i="130" s="1"/>
  <c r="G17" i="130"/>
  <c r="H17" i="130" s="1"/>
  <c r="G16" i="130"/>
  <c r="H16" i="130" s="1"/>
  <c r="G15" i="130"/>
  <c r="H15" i="130" s="1"/>
  <c r="G14" i="130"/>
  <c r="H14" i="130" s="1"/>
  <c r="G32" i="130"/>
  <c r="G33" i="130"/>
  <c r="G34" i="130"/>
  <c r="G27" i="130" s="1"/>
  <c r="D32" i="130"/>
  <c r="D33" i="130"/>
  <c r="D34" i="130"/>
  <c r="P27" i="77"/>
  <c r="E27" i="77"/>
  <c r="G27" i="74"/>
  <c r="O27" i="72"/>
  <c r="M27" i="72"/>
  <c r="F27" i="72"/>
  <c r="J27" i="72"/>
  <c r="J27" i="73"/>
  <c r="I27" i="18"/>
  <c r="M27" i="18"/>
  <c r="N27" i="18"/>
  <c r="C23" i="63"/>
  <c r="C24" i="63" s="1"/>
  <c r="E27" i="106"/>
  <c r="F27" i="64"/>
  <c r="K27" i="64"/>
  <c r="N27" i="65"/>
  <c r="L27" i="102"/>
  <c r="C37" i="98" s="1"/>
  <c r="K27" i="15"/>
  <c r="J27" i="14"/>
  <c r="H27" i="14"/>
  <c r="E27" i="14"/>
  <c r="C27" i="13"/>
  <c r="G27" i="12"/>
  <c r="I27" i="11"/>
  <c r="J27" i="64"/>
  <c r="J27" i="65"/>
  <c r="C103" i="63"/>
  <c r="C105" i="63" s="1"/>
  <c r="C102" i="63"/>
  <c r="C100" i="63"/>
  <c r="C99" i="63"/>
  <c r="C98" i="63"/>
  <c r="C97" i="63"/>
  <c r="C95" i="63"/>
  <c r="C94" i="63"/>
  <c r="C51" i="63"/>
  <c r="C50" i="63"/>
  <c r="F34" i="93"/>
  <c r="J27" i="78"/>
  <c r="Q27" i="77"/>
  <c r="M27" i="77"/>
  <c r="K27" i="78"/>
  <c r="H27" i="78"/>
  <c r="H27" i="74"/>
  <c r="O27" i="74"/>
  <c r="N27" i="74"/>
  <c r="N27" i="75"/>
  <c r="L27" i="73"/>
  <c r="F27" i="18"/>
  <c r="K27" i="17"/>
  <c r="C27" i="64"/>
  <c r="E27" i="64"/>
  <c r="M27" i="65"/>
  <c r="M27" i="15"/>
  <c r="G27" i="14"/>
  <c r="M27" i="13"/>
  <c r="K27" i="13"/>
  <c r="D27" i="12"/>
  <c r="H27" i="11"/>
  <c r="L27" i="10"/>
  <c r="N27" i="83"/>
  <c r="O27" i="83" s="1"/>
  <c r="M27" i="83"/>
  <c r="K27" i="83"/>
  <c r="J27" i="83"/>
  <c r="G27" i="83"/>
  <c r="F27" i="83"/>
  <c r="D27" i="83"/>
  <c r="C27" i="83"/>
  <c r="E27" i="83" s="1"/>
  <c r="N27" i="119"/>
  <c r="M27" i="119"/>
  <c r="L27" i="119"/>
  <c r="K27" i="119"/>
  <c r="J27" i="119"/>
  <c r="I27" i="119"/>
  <c r="H27" i="119"/>
  <c r="G27" i="119"/>
  <c r="F27" i="119"/>
  <c r="E27" i="119"/>
  <c r="D27" i="119"/>
  <c r="C27" i="119"/>
  <c r="L27" i="107"/>
  <c r="K27" i="107"/>
  <c r="J27" i="107"/>
  <c r="I27" i="107"/>
  <c r="G27" i="107"/>
  <c r="E27" i="107"/>
  <c r="D27" i="107"/>
  <c r="C27" i="107"/>
  <c r="F27" i="90"/>
  <c r="E27" i="90"/>
  <c r="D27" i="90"/>
  <c r="L27" i="120"/>
  <c r="K27" i="120"/>
  <c r="J27" i="120"/>
  <c r="I27" i="120"/>
  <c r="H27" i="120"/>
  <c r="G27" i="120"/>
  <c r="F27" i="120"/>
  <c r="E27" i="120"/>
  <c r="D27" i="120"/>
  <c r="C27" i="120"/>
  <c r="O27" i="4"/>
  <c r="N27" i="4"/>
  <c r="M27" i="4"/>
  <c r="L27" i="4"/>
  <c r="K27" i="4"/>
  <c r="J27" i="4"/>
  <c r="I27" i="4"/>
  <c r="G27" i="4"/>
  <c r="F27" i="4"/>
  <c r="E27" i="4"/>
  <c r="D27" i="4"/>
  <c r="C27" i="4"/>
  <c r="I27" i="5"/>
  <c r="G27" i="5"/>
  <c r="F27" i="5"/>
  <c r="E27" i="5"/>
  <c r="D27" i="5"/>
  <c r="C27" i="5"/>
  <c r="L27" i="79"/>
  <c r="K27" i="79"/>
  <c r="J27" i="79"/>
  <c r="I27" i="79"/>
  <c r="H27" i="79"/>
  <c r="G27" i="79"/>
  <c r="F27" i="79"/>
  <c r="E27" i="79"/>
  <c r="D27" i="79"/>
  <c r="C27" i="79"/>
  <c r="Q27" i="80"/>
  <c r="F27" i="130"/>
  <c r="E27" i="130"/>
  <c r="C27" i="130"/>
  <c r="K27" i="90"/>
  <c r="I27" i="90"/>
  <c r="H27" i="90"/>
  <c r="C27" i="90"/>
  <c r="J27" i="121"/>
  <c r="I27" i="121"/>
  <c r="H27" i="121"/>
  <c r="G27" i="121"/>
  <c r="F27" i="121"/>
  <c r="E27" i="121"/>
  <c r="D27" i="121"/>
  <c r="C27" i="121"/>
  <c r="M27" i="110"/>
  <c r="Q27" i="64"/>
  <c r="P27" i="64"/>
  <c r="O27" i="64"/>
  <c r="N27" i="64"/>
  <c r="M27" i="64"/>
  <c r="L27" i="64"/>
  <c r="I27" i="64"/>
  <c r="H27" i="64"/>
  <c r="D27" i="64"/>
  <c r="K27" i="61"/>
  <c r="J27" i="61"/>
  <c r="I27" i="61"/>
  <c r="H27" i="61"/>
  <c r="G27" i="61"/>
  <c r="F27" i="61"/>
  <c r="E27" i="61"/>
  <c r="D27" i="61"/>
  <c r="C27" i="61"/>
  <c r="P27" i="106"/>
  <c r="O27" i="106"/>
  <c r="M27" i="106"/>
  <c r="L27" i="106"/>
  <c r="K27" i="106"/>
  <c r="J27" i="106"/>
  <c r="I27" i="106"/>
  <c r="H27" i="106"/>
  <c r="G27" i="106"/>
  <c r="F27" i="106"/>
  <c r="C27" i="106"/>
  <c r="O27" i="17"/>
  <c r="M27" i="17"/>
  <c r="L27" i="17"/>
  <c r="J27" i="17"/>
  <c r="I27" i="17"/>
  <c r="H27" i="17"/>
  <c r="F27" i="17"/>
  <c r="E27" i="17"/>
  <c r="D27" i="17"/>
  <c r="C27" i="17"/>
  <c r="O27" i="18"/>
  <c r="L27" i="18"/>
  <c r="K27" i="18"/>
  <c r="H27" i="18"/>
  <c r="G27" i="18"/>
  <c r="D27" i="18"/>
  <c r="C27" i="18"/>
  <c r="P27" i="73"/>
  <c r="O27" i="73"/>
  <c r="N27" i="73"/>
  <c r="M27" i="73"/>
  <c r="H27" i="73"/>
  <c r="G27" i="73"/>
  <c r="F27" i="73"/>
  <c r="E27" i="73"/>
  <c r="C27" i="73"/>
  <c r="Q27" i="72"/>
  <c r="P27" i="72"/>
  <c r="N27" i="72"/>
  <c r="L27" i="72"/>
  <c r="K27" i="72"/>
  <c r="I27" i="72"/>
  <c r="H27" i="72"/>
  <c r="G27" i="72"/>
  <c r="E27" i="72"/>
  <c r="D27" i="72"/>
  <c r="C27" i="72"/>
  <c r="P27" i="75"/>
  <c r="M27" i="75"/>
  <c r="L27" i="75"/>
  <c r="K27" i="75"/>
  <c r="J27" i="75"/>
  <c r="G27" i="75"/>
  <c r="F27" i="75"/>
  <c r="E27" i="75"/>
  <c r="D27" i="75"/>
  <c r="C27" i="75"/>
  <c r="P27" i="74"/>
  <c r="M27" i="74"/>
  <c r="L27" i="74"/>
  <c r="K27" i="74"/>
  <c r="J27" i="74"/>
  <c r="F27" i="74"/>
  <c r="D27" i="74"/>
  <c r="C27" i="74"/>
  <c r="P27" i="78"/>
  <c r="O27" i="78"/>
  <c r="M27" i="78"/>
  <c r="L27" i="78"/>
  <c r="F27" i="78"/>
  <c r="E27" i="78"/>
  <c r="D27" i="78"/>
  <c r="C27" i="78"/>
  <c r="O27" i="77"/>
  <c r="N27" i="77"/>
  <c r="L27" i="77"/>
  <c r="K27" i="77"/>
  <c r="I27" i="77"/>
  <c r="H27" i="77"/>
  <c r="G27" i="77"/>
  <c r="F27" i="77"/>
  <c r="D27" i="77"/>
  <c r="C27" i="77"/>
  <c r="P27" i="65"/>
  <c r="O27" i="65"/>
  <c r="K27" i="65"/>
  <c r="H27" i="65"/>
  <c r="G27" i="65"/>
  <c r="F27" i="65"/>
  <c r="E27" i="65"/>
  <c r="D27" i="65"/>
  <c r="M27" i="10"/>
  <c r="H27" i="10"/>
  <c r="F27" i="10"/>
  <c r="E27" i="10"/>
  <c r="D27" i="10"/>
  <c r="C27" i="10"/>
  <c r="L27" i="11"/>
  <c r="G27" i="11"/>
  <c r="F27" i="11"/>
  <c r="D27" i="11"/>
  <c r="C27" i="11"/>
  <c r="I27" i="12"/>
  <c r="F27" i="12"/>
  <c r="E27" i="12"/>
  <c r="C27" i="12"/>
  <c r="N27" i="13"/>
  <c r="L27" i="13"/>
  <c r="J27" i="13"/>
  <c r="I27" i="13"/>
  <c r="H27" i="13"/>
  <c r="G27" i="13"/>
  <c r="F27" i="13"/>
  <c r="E27" i="13"/>
  <c r="D27" i="13"/>
  <c r="N27" i="14"/>
  <c r="M27" i="14"/>
  <c r="L27" i="14"/>
  <c r="K27" i="14"/>
  <c r="I27" i="14"/>
  <c r="F27" i="14"/>
  <c r="D27" i="14"/>
  <c r="C27" i="14"/>
  <c r="Q27" i="15"/>
  <c r="O27" i="15"/>
  <c r="N27" i="15"/>
  <c r="L27" i="15"/>
  <c r="J27" i="15"/>
  <c r="I27" i="15"/>
  <c r="H27" i="15"/>
  <c r="G27" i="15"/>
  <c r="F27" i="15"/>
  <c r="E27" i="15"/>
  <c r="D27" i="15"/>
  <c r="C27" i="15"/>
  <c r="J27" i="102"/>
  <c r="I27" i="102"/>
  <c r="H27" i="102"/>
  <c r="G27" i="102"/>
  <c r="F27" i="102"/>
  <c r="E27" i="102"/>
  <c r="D27" i="102"/>
  <c r="C27" i="102"/>
  <c r="S27" i="128"/>
  <c r="R27" i="128"/>
  <c r="Q27" i="128"/>
  <c r="P27" i="128"/>
  <c r="O27" i="128"/>
  <c r="N27" i="128"/>
  <c r="M27" i="128"/>
  <c r="L27" i="128"/>
  <c r="K27" i="128"/>
  <c r="J27" i="128"/>
  <c r="I27" i="128"/>
  <c r="H27" i="128"/>
  <c r="G27" i="128"/>
  <c r="F27" i="128"/>
  <c r="E27" i="128"/>
  <c r="D27" i="128"/>
  <c r="C27" i="128"/>
  <c r="S27" i="80"/>
  <c r="C53" i="63"/>
  <c r="P27" i="80"/>
  <c r="O27" i="80"/>
  <c r="N27" i="80"/>
  <c r="M27" i="80"/>
  <c r="L27" i="80"/>
  <c r="C54" i="63"/>
  <c r="J27" i="80"/>
  <c r="I27" i="80"/>
  <c r="H27" i="80"/>
  <c r="G27" i="80"/>
  <c r="C55" i="63"/>
  <c r="E27" i="80"/>
  <c r="D27" i="80"/>
  <c r="C27" i="80"/>
  <c r="J34" i="5"/>
  <c r="H34" i="5"/>
  <c r="H27" i="5" s="1"/>
  <c r="K34" i="6"/>
  <c r="K27" i="6" s="1"/>
  <c r="C34" i="7"/>
  <c r="H34" i="107"/>
  <c r="F34" i="107"/>
  <c r="M34" i="120"/>
  <c r="H34" i="4"/>
  <c r="K33" i="5"/>
  <c r="E33" i="6"/>
  <c r="D33" i="6"/>
  <c r="B49" i="108"/>
  <c r="B48" i="108"/>
  <c r="B47" i="108"/>
  <c r="B45" i="108"/>
  <c r="B44" i="108"/>
  <c r="B42" i="108"/>
  <c r="B41" i="108"/>
  <c r="B38" i="108"/>
  <c r="B35" i="108"/>
  <c r="B33" i="108"/>
  <c r="B32" i="108"/>
  <c r="B31" i="108"/>
  <c r="B29" i="108"/>
  <c r="B28" i="108"/>
  <c r="B26" i="108"/>
  <c r="B25" i="108"/>
  <c r="B24" i="108"/>
  <c r="B23" i="108"/>
  <c r="B22" i="108"/>
  <c r="B21" i="108"/>
  <c r="B20" i="108"/>
  <c r="B19" i="108"/>
  <c r="B18" i="108"/>
  <c r="B17" i="108"/>
  <c r="B15" i="108"/>
  <c r="B14" i="108"/>
  <c r="B12" i="108"/>
  <c r="B11" i="108"/>
  <c r="F46" i="108"/>
  <c r="F43" i="108"/>
  <c r="F40" i="108"/>
  <c r="F37" i="108"/>
  <c r="F34" i="108"/>
  <c r="F30" i="108"/>
  <c r="F27" i="108"/>
  <c r="F16" i="108"/>
  <c r="F13" i="108"/>
  <c r="F10" i="108"/>
  <c r="H33" i="5"/>
  <c r="J33" i="5"/>
  <c r="K33" i="6"/>
  <c r="C33" i="7"/>
  <c r="F33" i="107"/>
  <c r="H33" i="107"/>
  <c r="M33" i="120"/>
  <c r="H33" i="4"/>
  <c r="E26" i="94"/>
  <c r="E25" i="94"/>
  <c r="E24" i="94"/>
  <c r="J23" i="111"/>
  <c r="I23" i="111"/>
  <c r="H23" i="111"/>
  <c r="G23" i="111"/>
  <c r="F23" i="111"/>
  <c r="E23" i="111"/>
  <c r="D23" i="111"/>
  <c r="C23" i="111"/>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E27" i="94"/>
  <c r="H21" i="130"/>
  <c r="G21" i="130"/>
  <c r="F21" i="130"/>
  <c r="E21" i="130"/>
  <c r="D21" i="130"/>
  <c r="C21" i="130"/>
  <c r="S21" i="128"/>
  <c r="R21" i="128"/>
  <c r="Q21" i="128"/>
  <c r="P21" i="128"/>
  <c r="O21" i="128"/>
  <c r="N21" i="128"/>
  <c r="M21" i="128"/>
  <c r="L21" i="128"/>
  <c r="K21" i="128"/>
  <c r="J21" i="128"/>
  <c r="I21" i="128"/>
  <c r="H21" i="128"/>
  <c r="G21" i="128"/>
  <c r="F21" i="128"/>
  <c r="E21" i="128"/>
  <c r="D21" i="128"/>
  <c r="C21" i="128"/>
  <c r="G32" i="7"/>
  <c r="K32" i="5"/>
  <c r="E32" i="6"/>
  <c r="D32" i="6"/>
  <c r="J32" i="5"/>
  <c r="H32" i="5"/>
  <c r="K32" i="6"/>
  <c r="C32" i="7"/>
  <c r="H32" i="107"/>
  <c r="F32" i="107"/>
  <c r="M32" i="120"/>
  <c r="H32" i="4"/>
  <c r="D20" i="93"/>
  <c r="E20" i="93"/>
  <c r="C20" i="93"/>
  <c r="F33" i="93"/>
  <c r="P21" i="75"/>
  <c r="M21" i="75"/>
  <c r="L21" i="75"/>
  <c r="K21" i="75"/>
  <c r="J21" i="75"/>
  <c r="I21" i="75"/>
  <c r="H21" i="75"/>
  <c r="G21" i="75"/>
  <c r="F21" i="75"/>
  <c r="E21" i="75"/>
  <c r="D21" i="75"/>
  <c r="C21" i="75"/>
  <c r="O21" i="105"/>
  <c r="G21" i="80"/>
  <c r="M21" i="110"/>
  <c r="O21" i="78"/>
  <c r="O21" i="74"/>
  <c r="F21" i="74"/>
  <c r="C21" i="74"/>
  <c r="O21" i="72"/>
  <c r="M21" i="72"/>
  <c r="G21" i="72"/>
  <c r="N21" i="73"/>
  <c r="G21" i="18"/>
  <c r="L21" i="18"/>
  <c r="O21" i="18"/>
  <c r="M21" i="18"/>
  <c r="J21" i="18"/>
  <c r="I21" i="18"/>
  <c r="H21" i="18"/>
  <c r="F21" i="18"/>
  <c r="E21" i="18"/>
  <c r="D21" i="18"/>
  <c r="C21" i="18"/>
  <c r="P21" i="73"/>
  <c r="M21" i="73"/>
  <c r="L21" i="73"/>
  <c r="H21" i="73"/>
  <c r="G21" i="73"/>
  <c r="F21" i="73"/>
  <c r="E21" i="73"/>
  <c r="D21" i="73"/>
  <c r="Q21" i="72"/>
  <c r="P21" i="72"/>
  <c r="N21" i="72"/>
  <c r="L21" i="72"/>
  <c r="K21" i="72"/>
  <c r="I21" i="72"/>
  <c r="H21" i="72"/>
  <c r="F21" i="72"/>
  <c r="E21" i="72"/>
  <c r="D21" i="72"/>
  <c r="C21" i="72"/>
  <c r="O21" i="17"/>
  <c r="N21" i="17"/>
  <c r="M21" i="17"/>
  <c r="L21" i="17"/>
  <c r="K21" i="17"/>
  <c r="J21" i="17"/>
  <c r="I21" i="17"/>
  <c r="H21" i="17"/>
  <c r="G21" i="17"/>
  <c r="F21" i="17"/>
  <c r="E21" i="17"/>
  <c r="D21" i="17"/>
  <c r="C21" i="17"/>
  <c r="O21" i="106"/>
  <c r="E21" i="105"/>
  <c r="M21" i="64"/>
  <c r="L21" i="64"/>
  <c r="E21" i="64"/>
  <c r="D21" i="64"/>
  <c r="C21" i="64"/>
  <c r="P21" i="65"/>
  <c r="O21" i="65"/>
  <c r="N21" i="65"/>
  <c r="M21" i="65"/>
  <c r="L21" i="65"/>
  <c r="K21" i="65"/>
  <c r="H21" i="65"/>
  <c r="G21" i="65"/>
  <c r="F21" i="65"/>
  <c r="E21" i="65"/>
  <c r="D21" i="65"/>
  <c r="Q21" i="64"/>
  <c r="P21" i="64"/>
  <c r="O21" i="64"/>
  <c r="K21" i="64"/>
  <c r="J21" i="64"/>
  <c r="I21" i="64"/>
  <c r="G21" i="64"/>
  <c r="F21" i="64"/>
  <c r="K21" i="61"/>
  <c r="J21" i="61"/>
  <c r="I21" i="61"/>
  <c r="H21" i="61"/>
  <c r="G21" i="61"/>
  <c r="F21" i="61"/>
  <c r="E21" i="61"/>
  <c r="D21" i="61"/>
  <c r="C21" i="61"/>
  <c r="N21" i="105"/>
  <c r="L21" i="105"/>
  <c r="K21" i="105"/>
  <c r="J21" i="105"/>
  <c r="H21" i="105"/>
  <c r="G21" i="105"/>
  <c r="F21" i="105"/>
  <c r="C21" i="105"/>
  <c r="P21" i="106"/>
  <c r="N21" i="106"/>
  <c r="M21" i="106"/>
  <c r="L21" i="106"/>
  <c r="K21" i="106"/>
  <c r="J21" i="106"/>
  <c r="I21" i="106"/>
  <c r="H21" i="106"/>
  <c r="G21" i="106"/>
  <c r="F21" i="106"/>
  <c r="E21" i="106"/>
  <c r="D21" i="106"/>
  <c r="C21" i="106"/>
  <c r="F21" i="102"/>
  <c r="N21" i="14"/>
  <c r="G21" i="14"/>
  <c r="I21" i="13"/>
  <c r="H21" i="13"/>
  <c r="H21" i="12"/>
  <c r="G21" i="12"/>
  <c r="K21" i="11"/>
  <c r="I21" i="11"/>
  <c r="L21" i="11"/>
  <c r="J21" i="11"/>
  <c r="H21" i="11"/>
  <c r="G21" i="11"/>
  <c r="F21" i="11"/>
  <c r="E21" i="11"/>
  <c r="D21" i="11"/>
  <c r="C21" i="11"/>
  <c r="I21" i="12"/>
  <c r="F21" i="12"/>
  <c r="D21" i="12"/>
  <c r="C21" i="12"/>
  <c r="M21" i="13"/>
  <c r="L21" i="13"/>
  <c r="K21" i="13"/>
  <c r="J21" i="13"/>
  <c r="G21" i="13"/>
  <c r="F21" i="13"/>
  <c r="E21" i="13"/>
  <c r="D21" i="13"/>
  <c r="C21" i="13"/>
  <c r="M21" i="14"/>
  <c r="L21" i="14"/>
  <c r="K21" i="14"/>
  <c r="J21" i="14"/>
  <c r="I21" i="14"/>
  <c r="H21" i="14"/>
  <c r="F21" i="14"/>
  <c r="E21" i="14"/>
  <c r="D21" i="14"/>
  <c r="C21" i="14"/>
  <c r="Q21" i="15"/>
  <c r="P21" i="15"/>
  <c r="O21" i="15"/>
  <c r="N21" i="15"/>
  <c r="J21" i="15"/>
  <c r="I21" i="15"/>
  <c r="H21" i="15"/>
  <c r="D21" i="15"/>
  <c r="J21" i="102"/>
  <c r="I21" i="102"/>
  <c r="H21" i="102"/>
  <c r="G21" i="102"/>
  <c r="E21" i="102"/>
  <c r="D21" i="102"/>
  <c r="M21" i="10"/>
  <c r="K21" i="10"/>
  <c r="J21" i="10"/>
  <c r="H21" i="10"/>
  <c r="E21" i="10"/>
  <c r="C21" i="10"/>
  <c r="S21" i="80"/>
  <c r="Q21" i="80"/>
  <c r="P21" i="80"/>
  <c r="O21" i="80"/>
  <c r="N21" i="80"/>
  <c r="M21" i="80"/>
  <c r="L21" i="80"/>
  <c r="K21" i="80"/>
  <c r="J21" i="80"/>
  <c r="I21" i="80"/>
  <c r="H21" i="80"/>
  <c r="D21" i="80"/>
  <c r="C21" i="80"/>
  <c r="O21" i="4"/>
  <c r="N21" i="4"/>
  <c r="M21" i="4"/>
  <c r="L21" i="4"/>
  <c r="K21" i="4"/>
  <c r="J21" i="4"/>
  <c r="I21" i="4"/>
  <c r="G21" i="4"/>
  <c r="F21" i="4"/>
  <c r="E21" i="4"/>
  <c r="D21" i="4"/>
  <c r="C21" i="4"/>
  <c r="I21" i="5"/>
  <c r="G21" i="5"/>
  <c r="F21" i="5"/>
  <c r="E21" i="5"/>
  <c r="D21" i="5"/>
  <c r="C21" i="5"/>
  <c r="L21" i="79"/>
  <c r="K21" i="79"/>
  <c r="J21" i="79"/>
  <c r="I21" i="79"/>
  <c r="H21" i="79"/>
  <c r="G21" i="79"/>
  <c r="F21" i="79"/>
  <c r="E21" i="79"/>
  <c r="D21" i="79"/>
  <c r="C21" i="79"/>
  <c r="J21" i="121"/>
  <c r="I21" i="121"/>
  <c r="H21" i="121"/>
  <c r="G21" i="121"/>
  <c r="F21" i="121"/>
  <c r="E21" i="121"/>
  <c r="D21" i="121"/>
  <c r="C21" i="121"/>
  <c r="J21" i="5"/>
  <c r="H21" i="5"/>
  <c r="K21" i="6"/>
  <c r="E32" i="8"/>
  <c r="N21" i="13"/>
  <c r="M21" i="15"/>
  <c r="K21" i="102"/>
  <c r="C21" i="102"/>
  <c r="J21" i="65"/>
  <c r="C21" i="65"/>
  <c r="N21" i="64"/>
  <c r="H21" i="64"/>
  <c r="P21" i="105"/>
  <c r="M21" i="105"/>
  <c r="I21" i="105"/>
  <c r="D21" i="105"/>
  <c r="N21" i="18"/>
  <c r="K21" i="18"/>
  <c r="O21" i="73"/>
  <c r="K21" i="73"/>
  <c r="J21" i="73"/>
  <c r="C21" i="73"/>
  <c r="J21" i="72"/>
  <c r="N21" i="75"/>
  <c r="P21" i="74"/>
  <c r="N21" i="74"/>
  <c r="M21" i="74"/>
  <c r="L21" i="74"/>
  <c r="K21" i="74"/>
  <c r="J21" i="74"/>
  <c r="I21" i="74"/>
  <c r="H21" i="74"/>
  <c r="G21" i="74"/>
  <c r="E21" i="74"/>
  <c r="D21" i="74"/>
  <c r="P21" i="78"/>
  <c r="N21" i="78"/>
  <c r="M21" i="78"/>
  <c r="L21" i="78"/>
  <c r="K21" i="78"/>
  <c r="J21" i="78"/>
  <c r="H21" i="78"/>
  <c r="G21" i="78"/>
  <c r="F21" i="78"/>
  <c r="E21" i="78"/>
  <c r="D21" i="78"/>
  <c r="C21" i="78"/>
  <c r="Q21" i="77"/>
  <c r="P21" i="77"/>
  <c r="O21" i="77"/>
  <c r="N21" i="77"/>
  <c r="M21" i="77"/>
  <c r="L21" i="77"/>
  <c r="K21" i="77"/>
  <c r="J21" i="77"/>
  <c r="I21" i="77"/>
  <c r="H21" i="77"/>
  <c r="G21" i="77"/>
  <c r="F21" i="77"/>
  <c r="E21" i="77"/>
  <c r="D21" i="77"/>
  <c r="C21" i="77"/>
  <c r="F21" i="9"/>
  <c r="L21" i="102"/>
  <c r="C36" i="98"/>
  <c r="O21" i="75"/>
  <c r="L21" i="10"/>
  <c r="R21" i="80"/>
  <c r="M21" i="9"/>
  <c r="E21" i="6"/>
  <c r="H21" i="4"/>
  <c r="C21" i="9"/>
  <c r="I21" i="10"/>
  <c r="E21" i="12"/>
  <c r="D21" i="10"/>
  <c r="F21" i="15"/>
  <c r="D21" i="6"/>
  <c r="E21" i="15"/>
  <c r="F21" i="10"/>
  <c r="G21" i="6"/>
  <c r="C21" i="15"/>
  <c r="G21" i="15"/>
  <c r="G21" i="10"/>
  <c r="J21" i="9"/>
  <c r="K21" i="9"/>
  <c r="H21" i="9"/>
  <c r="L21" i="9"/>
  <c r="D21" i="9"/>
  <c r="E21" i="9"/>
  <c r="C21" i="7"/>
  <c r="F21" i="6"/>
  <c r="I21" i="9"/>
  <c r="G21" i="9"/>
  <c r="O21" i="9"/>
  <c r="N21" i="9"/>
  <c r="I21" i="78"/>
  <c r="J21" i="12"/>
  <c r="Q21" i="65"/>
  <c r="Q21" i="78"/>
  <c r="L21" i="5"/>
  <c r="K21" i="5"/>
  <c r="Q21" i="73"/>
  <c r="I21" i="65"/>
  <c r="I21" i="73"/>
  <c r="E34" i="108"/>
  <c r="E46" i="108"/>
  <c r="E43" i="108"/>
  <c r="E40" i="108"/>
  <c r="E37" i="108"/>
  <c r="E30" i="108"/>
  <c r="E27" i="108"/>
  <c r="E16" i="108"/>
  <c r="E13" i="108"/>
  <c r="E10" i="108"/>
  <c r="E9" i="108" s="1"/>
  <c r="E22" i="94"/>
  <c r="E21" i="94"/>
  <c r="E20" i="94"/>
  <c r="G21" i="7"/>
  <c r="F21" i="7"/>
  <c r="H21" i="7"/>
  <c r="E23" i="94"/>
  <c r="I21" i="7"/>
  <c r="D21" i="7"/>
  <c r="C21" i="6"/>
  <c r="H21" i="6"/>
  <c r="E21" i="7"/>
  <c r="I21" i="6"/>
  <c r="L37" i="101"/>
  <c r="M37" i="101" s="1"/>
  <c r="G37" i="101"/>
  <c r="H37" i="101" s="1"/>
  <c r="O37" i="101" s="1"/>
  <c r="J21" i="6"/>
  <c r="N37" i="97"/>
  <c r="G37" i="97"/>
  <c r="I37" i="97" s="1"/>
  <c r="J21" i="7"/>
  <c r="C21" i="8"/>
  <c r="S33" i="127"/>
  <c r="S12" i="127"/>
  <c r="S13" i="127"/>
  <c r="S14" i="127"/>
  <c r="S15" i="127"/>
  <c r="S16" i="127"/>
  <c r="S17" i="127"/>
  <c r="S18" i="127"/>
  <c r="S19" i="127"/>
  <c r="S20" i="127"/>
  <c r="S21" i="127"/>
  <c r="S22" i="127"/>
  <c r="S23" i="127"/>
  <c r="S24" i="127"/>
  <c r="S25" i="127"/>
  <c r="S26" i="127"/>
  <c r="S27" i="127"/>
  <c r="S28" i="127"/>
  <c r="S29" i="127"/>
  <c r="S30" i="127"/>
  <c r="S31" i="127"/>
  <c r="S32" i="127"/>
  <c r="S33" i="114"/>
  <c r="F32" i="93"/>
  <c r="S32" i="114"/>
  <c r="S31" i="114"/>
  <c r="S30" i="114"/>
  <c r="S29" i="114"/>
  <c r="S28" i="114"/>
  <c r="S27" i="114"/>
  <c r="S26" i="114"/>
  <c r="S25" i="114"/>
  <c r="S24" i="114"/>
  <c r="S23" i="114"/>
  <c r="S22" i="114"/>
  <c r="S21" i="114"/>
  <c r="S20" i="114"/>
  <c r="S19" i="114"/>
  <c r="S18" i="114"/>
  <c r="S17" i="114"/>
  <c r="S16" i="114"/>
  <c r="S15" i="114"/>
  <c r="S14" i="114"/>
  <c r="S13" i="114"/>
  <c r="N36" i="97"/>
  <c r="G36" i="97"/>
  <c r="I36" i="97" s="1"/>
  <c r="E19" i="94"/>
  <c r="E18" i="94"/>
  <c r="E17" i="94"/>
  <c r="E16" i="94"/>
  <c r="D40" i="108"/>
  <c r="C35" i="98"/>
  <c r="D46" i="108"/>
  <c r="D43" i="108"/>
  <c r="D39" i="108" s="1"/>
  <c r="D36" i="108" s="1"/>
  <c r="D37" i="108"/>
  <c r="D34" i="108"/>
  <c r="D30" i="108"/>
  <c r="D27" i="108"/>
  <c r="D16" i="108"/>
  <c r="D13" i="108"/>
  <c r="D10" i="108"/>
  <c r="D9" i="108"/>
  <c r="D8" i="108" s="1"/>
  <c r="L36" i="101"/>
  <c r="M36" i="101" s="1"/>
  <c r="G36" i="101"/>
  <c r="H36" i="101" s="1"/>
  <c r="G24" i="84"/>
  <c r="H24" i="84"/>
  <c r="I24" i="84"/>
  <c r="D24" i="84"/>
  <c r="J24" i="84"/>
  <c r="F31" i="93"/>
  <c r="C34" i="98"/>
  <c r="C46" i="108"/>
  <c r="B46" i="108" s="1"/>
  <c r="C43" i="108"/>
  <c r="C40" i="108"/>
  <c r="C37" i="108"/>
  <c r="B37" i="108" s="1"/>
  <c r="C34" i="108"/>
  <c r="B34" i="108" s="1"/>
  <c r="C30" i="108"/>
  <c r="B30" i="108"/>
  <c r="C27" i="108"/>
  <c r="C16" i="108"/>
  <c r="B16" i="108" s="1"/>
  <c r="C13" i="108"/>
  <c r="B13" i="108" s="1"/>
  <c r="C10" i="108"/>
  <c r="L35" i="101"/>
  <c r="M35" i="101" s="1"/>
  <c r="G35" i="101"/>
  <c r="H35" i="101" s="1"/>
  <c r="N35" i="97"/>
  <c r="G35" i="97"/>
  <c r="I35" i="97" s="1"/>
  <c r="E15" i="94"/>
  <c r="E14" i="94"/>
  <c r="E13" i="94"/>
  <c r="E12" i="94"/>
  <c r="C21" i="119"/>
  <c r="E21" i="119"/>
  <c r="D21" i="119"/>
  <c r="F21" i="119"/>
  <c r="E33" i="98"/>
  <c r="F30" i="93"/>
  <c r="N21" i="83"/>
  <c r="M21" i="83"/>
  <c r="K21" i="83"/>
  <c r="J21" i="83"/>
  <c r="G21" i="83"/>
  <c r="F21" i="83"/>
  <c r="D21" i="83"/>
  <c r="C21" i="83"/>
  <c r="L21" i="119"/>
  <c r="K21" i="119"/>
  <c r="J21" i="119"/>
  <c r="I21" i="119"/>
  <c r="H21" i="119"/>
  <c r="G21" i="119"/>
  <c r="N21" i="119"/>
  <c r="M21" i="119"/>
  <c r="L21" i="120"/>
  <c r="K21" i="120"/>
  <c r="J21" i="120"/>
  <c r="I21" i="120"/>
  <c r="H21" i="120"/>
  <c r="G21" i="120"/>
  <c r="F21" i="120"/>
  <c r="E21" i="120"/>
  <c r="D21" i="120"/>
  <c r="C21" i="120"/>
  <c r="L21" i="107"/>
  <c r="K21" i="107"/>
  <c r="J21" i="107"/>
  <c r="I21" i="107"/>
  <c r="G21" i="107"/>
  <c r="E21" i="107"/>
  <c r="C21" i="107"/>
  <c r="D21" i="107"/>
  <c r="L34" i="101"/>
  <c r="M34" i="101" s="1"/>
  <c r="G34" i="101"/>
  <c r="H34" i="101" s="1"/>
  <c r="K21" i="110"/>
  <c r="N21" i="125"/>
  <c r="C21" i="125"/>
  <c r="D21" i="125"/>
  <c r="E21" i="125"/>
  <c r="F21" i="125"/>
  <c r="G21" i="125"/>
  <c r="L21" i="125"/>
  <c r="K21" i="125"/>
  <c r="J21" i="125"/>
  <c r="I21" i="125"/>
  <c r="H21" i="125"/>
  <c r="C21" i="122"/>
  <c r="N21" i="122"/>
  <c r="I21" i="110"/>
  <c r="C21" i="110"/>
  <c r="D11" i="94"/>
  <c r="C11" i="94"/>
  <c r="E11" i="94" s="1"/>
  <c r="E10" i="94"/>
  <c r="E9" i="94"/>
  <c r="E8" i="94"/>
  <c r="N34" i="97"/>
  <c r="G34" i="97"/>
  <c r="I34" i="97"/>
  <c r="L21" i="110"/>
  <c r="J21" i="110"/>
  <c r="H21" i="110"/>
  <c r="G21" i="110"/>
  <c r="F21" i="110"/>
  <c r="E21" i="110"/>
  <c r="D21" i="110"/>
  <c r="L21" i="122"/>
  <c r="K21" i="122"/>
  <c r="J21" i="122"/>
  <c r="I21" i="122"/>
  <c r="H21" i="122"/>
  <c r="G21" i="122"/>
  <c r="F21" i="122"/>
  <c r="E21" i="122"/>
  <c r="D21" i="122"/>
  <c r="M21" i="125"/>
  <c r="M21" i="122"/>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J22" i="111"/>
  <c r="I22" i="111"/>
  <c r="H22" i="111"/>
  <c r="G22" i="111"/>
  <c r="F22" i="111"/>
  <c r="E22" i="111"/>
  <c r="D22" i="111"/>
  <c r="C22" i="111"/>
  <c r="E19" i="93"/>
  <c r="D19" i="93"/>
  <c r="F19" i="93" s="1"/>
  <c r="C19" i="93"/>
  <c r="F29" i="93"/>
  <c r="E31" i="98"/>
  <c r="L33" i="101"/>
  <c r="M33" i="101" s="1"/>
  <c r="G33" i="101"/>
  <c r="H33" i="101" s="1"/>
  <c r="N33" i="97"/>
  <c r="G33" i="97"/>
  <c r="I33" i="97" s="1"/>
  <c r="F28" i="93"/>
  <c r="Y32" i="76"/>
  <c r="Y31" i="76"/>
  <c r="N32" i="97"/>
  <c r="G32" i="97"/>
  <c r="I32" i="97" s="1"/>
  <c r="F27" i="93"/>
  <c r="L31" i="101"/>
  <c r="M31" i="101" s="1"/>
  <c r="G31" i="101"/>
  <c r="H31" i="101" s="1"/>
  <c r="N31" i="97"/>
  <c r="G31" i="97"/>
  <c r="I31" i="97"/>
  <c r="F26" i="93"/>
  <c r="F30" i="101"/>
  <c r="G30" i="101" s="1"/>
  <c r="H30" i="101" s="1"/>
  <c r="L30" i="101"/>
  <c r="M30" i="101" s="1"/>
  <c r="G23" i="84"/>
  <c r="I23" i="84"/>
  <c r="H23" i="84"/>
  <c r="D23" i="84"/>
  <c r="J23" i="84"/>
  <c r="N30" i="97"/>
  <c r="G30" i="97"/>
  <c r="I30" i="97" s="1"/>
  <c r="D18" i="93"/>
  <c r="E18" i="93"/>
  <c r="C18" i="93"/>
  <c r="F25" i="93"/>
  <c r="E27" i="98"/>
  <c r="L29" i="101"/>
  <c r="M29" i="101" s="1"/>
  <c r="O29" i="101" s="1"/>
  <c r="G29" i="101"/>
  <c r="H29" i="101" s="1"/>
  <c r="N29" i="97"/>
  <c r="G29" i="97"/>
  <c r="I29" i="97" s="1"/>
  <c r="F24" i="93"/>
  <c r="N28" i="97"/>
  <c r="G28" i="97"/>
  <c r="I28" i="97" s="1"/>
  <c r="M28" i="101"/>
  <c r="H28" i="101"/>
  <c r="O28" i="101" s="1"/>
  <c r="M27" i="101"/>
  <c r="H27" i="101"/>
  <c r="E26" i="98"/>
  <c r="F23" i="93"/>
  <c r="E25" i="98"/>
  <c r="N27" i="97"/>
  <c r="G27" i="97"/>
  <c r="I27" i="97" s="1"/>
  <c r="F22" i="93"/>
  <c r="I22" i="84"/>
  <c r="H22" i="84"/>
  <c r="G22" i="84"/>
  <c r="D22" i="84"/>
  <c r="J22" i="84"/>
  <c r="N26" i="97"/>
  <c r="G26" i="97"/>
  <c r="I26" i="97" s="1"/>
  <c r="L26" i="101"/>
  <c r="M26" i="101" s="1"/>
  <c r="O26" i="101" s="1"/>
  <c r="H26" i="101"/>
  <c r="N25" i="97"/>
  <c r="G25" i="97"/>
  <c r="I25" i="97" s="1"/>
  <c r="E22" i="98"/>
  <c r="N24" i="97"/>
  <c r="G24" i="97"/>
  <c r="I24" i="97" s="1"/>
  <c r="E15" i="6"/>
  <c r="E14" i="6"/>
  <c r="D15" i="6"/>
  <c r="H15" i="6" s="1"/>
  <c r="D14" i="6"/>
  <c r="H14" i="6" s="1"/>
  <c r="K15" i="6"/>
  <c r="K14" i="6"/>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4" i="93"/>
  <c r="G13" i="97"/>
  <c r="I13" i="97" s="1"/>
  <c r="N13" i="97"/>
  <c r="N12" i="97"/>
  <c r="G12" i="97"/>
  <c r="I12" i="97" s="1"/>
  <c r="O12" i="101"/>
  <c r="L11" i="101"/>
  <c r="M11" i="101" s="1"/>
  <c r="O11" i="101" s="1"/>
  <c r="H11" i="101"/>
  <c r="N11" i="97"/>
  <c r="G11" i="97"/>
  <c r="I11" i="97" s="1"/>
  <c r="I18" i="84"/>
  <c r="J18" i="84" s="1"/>
  <c r="H18" i="84"/>
  <c r="G18" i="84"/>
  <c r="D18" i="84"/>
  <c r="I17" i="84"/>
  <c r="H17" i="84"/>
  <c r="J17" i="84" s="1"/>
  <c r="G17" i="84"/>
  <c r="D17" i="84"/>
  <c r="I16" i="84"/>
  <c r="H16" i="84"/>
  <c r="J16" i="84" s="1"/>
  <c r="G16" i="84"/>
  <c r="D16" i="84"/>
  <c r="I15" i="84"/>
  <c r="H15" i="84"/>
  <c r="G15" i="84"/>
  <c r="D15" i="84"/>
  <c r="I14" i="84"/>
  <c r="H14" i="84"/>
  <c r="G14" i="84"/>
  <c r="D14" i="84"/>
  <c r="I13" i="84"/>
  <c r="H13" i="84"/>
  <c r="J13" i="84" s="1"/>
  <c r="G13" i="84"/>
  <c r="D13" i="84"/>
  <c r="I12" i="84"/>
  <c r="H12" i="84"/>
  <c r="G12" i="84"/>
  <c r="D12" i="84"/>
  <c r="I11" i="84"/>
  <c r="H11" i="84"/>
  <c r="J11" i="84" s="1"/>
  <c r="G11" i="84"/>
  <c r="D11" i="84"/>
  <c r="I10" i="84"/>
  <c r="H10" i="84"/>
  <c r="G10" i="84"/>
  <c r="D10" i="84"/>
  <c r="I9" i="84"/>
  <c r="H9" i="84"/>
  <c r="J9" i="84" s="1"/>
  <c r="G9" i="84"/>
  <c r="D9" i="84"/>
  <c r="J10" i="84"/>
  <c r="J14" i="84"/>
  <c r="J15" i="84"/>
  <c r="J12" i="84"/>
  <c r="D28" i="125" l="1"/>
  <c r="I29" i="125"/>
  <c r="F20" i="93"/>
  <c r="F18" i="93"/>
  <c r="D29" i="110"/>
  <c r="J29" i="122"/>
  <c r="H27" i="83"/>
  <c r="H28" i="83" s="1"/>
  <c r="J41" i="7"/>
  <c r="C41" i="8"/>
  <c r="E28" i="83"/>
  <c r="E29" i="83" s="1"/>
  <c r="F29" i="122"/>
  <c r="L29" i="125"/>
  <c r="C29" i="110"/>
  <c r="M29" i="120"/>
  <c r="K29" i="110"/>
  <c r="F29" i="110"/>
  <c r="H29" i="110"/>
  <c r="G29" i="122"/>
  <c r="H29" i="122"/>
  <c r="K29" i="125"/>
  <c r="L29" i="110"/>
  <c r="I29" i="122"/>
  <c r="K33" i="9"/>
  <c r="C29" i="125"/>
  <c r="D29" i="125"/>
  <c r="O33" i="101"/>
  <c r="O27" i="101"/>
  <c r="O15" i="101"/>
  <c r="N29" i="125"/>
  <c r="N35" i="9"/>
  <c r="E35" i="94"/>
  <c r="D78" i="63" s="1"/>
  <c r="G9" i="108"/>
  <c r="E8" i="108"/>
  <c r="H9" i="108"/>
  <c r="B10" i="108"/>
  <c r="F39" i="108"/>
  <c r="F36" i="108" s="1"/>
  <c r="C39" i="98"/>
  <c r="E39" i="98" s="1"/>
  <c r="E38" i="98"/>
  <c r="E27" i="122"/>
  <c r="H29" i="7"/>
  <c r="J30" i="8" s="1"/>
  <c r="J41" i="8"/>
  <c r="F28" i="110"/>
  <c r="F27" i="80"/>
  <c r="K28" i="125"/>
  <c r="H28" i="122"/>
  <c r="H28" i="4"/>
  <c r="I27" i="125"/>
  <c r="L27" i="83"/>
  <c r="L28" i="83" s="1"/>
  <c r="F29" i="7"/>
  <c r="H30" i="8" s="1"/>
  <c r="I40" i="7"/>
  <c r="K41" i="8" s="1"/>
  <c r="F32" i="9"/>
  <c r="G29" i="110"/>
  <c r="I34" i="9"/>
  <c r="C19" i="63" s="1"/>
  <c r="C20" i="63" s="1"/>
  <c r="E29" i="125"/>
  <c r="K39" i="9"/>
  <c r="E35" i="98"/>
  <c r="O37" i="9"/>
  <c r="O28" i="9" s="1"/>
  <c r="I29" i="110"/>
  <c r="C29" i="122"/>
  <c r="K29" i="122"/>
  <c r="I29" i="9"/>
  <c r="E19" i="63"/>
  <c r="E20" i="63" s="1"/>
  <c r="O29" i="9"/>
  <c r="E29" i="63"/>
  <c r="E31" i="63" s="1"/>
  <c r="G29" i="9"/>
  <c r="E27" i="63"/>
  <c r="E28" i="63" s="1"/>
  <c r="D105" i="63"/>
  <c r="E104" i="63"/>
  <c r="E29" i="6"/>
  <c r="E36" i="98"/>
  <c r="D37" i="6"/>
  <c r="D28" i="6" s="1"/>
  <c r="E29" i="122"/>
  <c r="N29" i="122"/>
  <c r="H29" i="125"/>
  <c r="I38" i="9"/>
  <c r="J37" i="12"/>
  <c r="D37" i="7" s="1"/>
  <c r="F27" i="110"/>
  <c r="N33" i="9"/>
  <c r="J33" i="12"/>
  <c r="D33" i="7" s="1"/>
  <c r="E33" i="7" s="1"/>
  <c r="I32" i="9"/>
  <c r="H28" i="110"/>
  <c r="G33" i="9"/>
  <c r="E37" i="98"/>
  <c r="E27" i="110"/>
  <c r="K37" i="9"/>
  <c r="K28" i="9" s="1"/>
  <c r="L28" i="10"/>
  <c r="C28" i="10"/>
  <c r="H34" i="9"/>
  <c r="H27" i="9" s="1"/>
  <c r="L36" i="9"/>
  <c r="G37" i="6"/>
  <c r="G28" i="6" s="1"/>
  <c r="G39" i="9"/>
  <c r="L40" i="5"/>
  <c r="L29" i="5" s="1"/>
  <c r="K29" i="5"/>
  <c r="J29" i="110"/>
  <c r="R28" i="80"/>
  <c r="D29" i="122"/>
  <c r="L29" i="122"/>
  <c r="Y25" i="76"/>
  <c r="C38" i="63"/>
  <c r="C39" i="63" s="1"/>
  <c r="G29" i="125"/>
  <c r="W15" i="76"/>
  <c r="Y18" i="76"/>
  <c r="Y23" i="76"/>
  <c r="Q29" i="73"/>
  <c r="D40" i="7"/>
  <c r="F41" i="8" s="1"/>
  <c r="J29" i="12"/>
  <c r="I29" i="73"/>
  <c r="E34" i="98"/>
  <c r="M34" i="9"/>
  <c r="M27" i="9" s="1"/>
  <c r="Q29" i="65"/>
  <c r="Q29" i="78"/>
  <c r="E32" i="98"/>
  <c r="I29" i="65"/>
  <c r="N27" i="125"/>
  <c r="L28" i="125"/>
  <c r="J37" i="9"/>
  <c r="J28" i="9" s="1"/>
  <c r="L38" i="9"/>
  <c r="E21" i="83"/>
  <c r="E33" i="8"/>
  <c r="L37" i="9"/>
  <c r="L28" i="9" s="1"/>
  <c r="H27" i="125"/>
  <c r="C27" i="110"/>
  <c r="F28" i="80"/>
  <c r="N34" i="9"/>
  <c r="N27" i="9" s="1"/>
  <c r="G28" i="110"/>
  <c r="M33" i="9"/>
  <c r="H36" i="130"/>
  <c r="I21" i="8"/>
  <c r="H27" i="122"/>
  <c r="H22" i="122" s="1"/>
  <c r="O32" i="9"/>
  <c r="H35" i="130"/>
  <c r="C28" i="110"/>
  <c r="E38" i="9"/>
  <c r="D27" i="125"/>
  <c r="D22" i="125" s="1"/>
  <c r="I27" i="122"/>
  <c r="L33" i="5"/>
  <c r="C33" i="6" s="1"/>
  <c r="H33" i="6" s="1"/>
  <c r="K35" i="9"/>
  <c r="D38" i="9"/>
  <c r="Q38" i="65"/>
  <c r="M38" i="9"/>
  <c r="J27" i="122"/>
  <c r="H27" i="110"/>
  <c r="G34" i="9"/>
  <c r="C27" i="63" s="1"/>
  <c r="C28" i="63" s="1"/>
  <c r="O28" i="83"/>
  <c r="O29" i="83" s="1"/>
  <c r="O30" i="83" s="1"/>
  <c r="E21" i="8"/>
  <c r="F27" i="125"/>
  <c r="D27" i="122"/>
  <c r="R27" i="80"/>
  <c r="O34" i="9"/>
  <c r="D38" i="63"/>
  <c r="D39" i="63" s="1"/>
  <c r="F28" i="11"/>
  <c r="H28" i="7"/>
  <c r="L27" i="122"/>
  <c r="M34" i="125"/>
  <c r="J28" i="122"/>
  <c r="E37" i="8"/>
  <c r="H21" i="8"/>
  <c r="K38" i="9"/>
  <c r="I15" i="6"/>
  <c r="J15" i="6" s="1"/>
  <c r="K27" i="80"/>
  <c r="F27" i="107"/>
  <c r="J28" i="125"/>
  <c r="C27" i="125"/>
  <c r="D33" i="9"/>
  <c r="J27" i="11"/>
  <c r="Q34" i="65"/>
  <c r="Q27" i="65" s="1"/>
  <c r="F38" i="6"/>
  <c r="N27" i="122"/>
  <c r="H27" i="12"/>
  <c r="E34" i="9"/>
  <c r="E27" i="9" s="1"/>
  <c r="E28" i="110"/>
  <c r="F35" i="6"/>
  <c r="F39" i="7"/>
  <c r="H40" i="8" s="1"/>
  <c r="F27" i="122"/>
  <c r="G38" i="6"/>
  <c r="I14" i="6"/>
  <c r="J14" i="6" s="1"/>
  <c r="F34" i="7"/>
  <c r="F27" i="7" s="1"/>
  <c r="H27" i="8" s="1"/>
  <c r="F28" i="125"/>
  <c r="G27" i="125"/>
  <c r="K27" i="110"/>
  <c r="E36" i="8"/>
  <c r="K28" i="122"/>
  <c r="I28" i="110"/>
  <c r="L35" i="9"/>
  <c r="F36" i="6"/>
  <c r="J36" i="9"/>
  <c r="I36" i="78"/>
  <c r="F37" i="7"/>
  <c r="F28" i="7" s="1"/>
  <c r="L27" i="110"/>
  <c r="U15" i="76"/>
  <c r="V15" i="76"/>
  <c r="Y17" i="76"/>
  <c r="Y21" i="76"/>
  <c r="Y22" i="76"/>
  <c r="Y20" i="76"/>
  <c r="Y33" i="76"/>
  <c r="T15" i="76"/>
  <c r="Y26" i="76"/>
  <c r="Y16" i="76"/>
  <c r="X15" i="76"/>
  <c r="Y19" i="76"/>
  <c r="Y27" i="76"/>
  <c r="Y28" i="76"/>
  <c r="Y29" i="76"/>
  <c r="Y30" i="76"/>
  <c r="Y24" i="76"/>
  <c r="J39" i="12"/>
  <c r="D39" i="7" s="1"/>
  <c r="H27" i="7"/>
  <c r="L27" i="65"/>
  <c r="F38" i="9"/>
  <c r="I39" i="78"/>
  <c r="C104" i="63"/>
  <c r="I36" i="65"/>
  <c r="H21" i="83"/>
  <c r="K27" i="122"/>
  <c r="N32" i="9"/>
  <c r="G32" i="6"/>
  <c r="G27" i="110"/>
  <c r="L33" i="9"/>
  <c r="K27" i="10"/>
  <c r="H27" i="107"/>
  <c r="E28" i="125"/>
  <c r="F36" i="7"/>
  <c r="K36" i="9"/>
  <c r="N28" i="75"/>
  <c r="F37" i="9"/>
  <c r="F28" i="9" s="1"/>
  <c r="F39" i="6"/>
  <c r="J27" i="125"/>
  <c r="I36" i="8"/>
  <c r="G36" i="6"/>
  <c r="D28" i="75"/>
  <c r="J38" i="9"/>
  <c r="L39" i="5"/>
  <c r="C39" i="6" s="1"/>
  <c r="H39" i="6" s="1"/>
  <c r="M21" i="120"/>
  <c r="L21" i="83"/>
  <c r="K27" i="125"/>
  <c r="I27" i="110"/>
  <c r="G32" i="9"/>
  <c r="G33" i="7"/>
  <c r="I33" i="8" s="1"/>
  <c r="J34" i="9"/>
  <c r="J27" i="9" s="1"/>
  <c r="G34" i="6"/>
  <c r="G27" i="6" s="1"/>
  <c r="M28" i="120"/>
  <c r="F21" i="8"/>
  <c r="I27" i="83"/>
  <c r="L27" i="125"/>
  <c r="J27" i="110"/>
  <c r="O33" i="9"/>
  <c r="G27" i="10"/>
  <c r="O35" i="9"/>
  <c r="M36" i="9"/>
  <c r="K28" i="80"/>
  <c r="D32" i="9"/>
  <c r="C27" i="122"/>
  <c r="D34" i="6"/>
  <c r="D27" i="6" s="1"/>
  <c r="C21" i="63"/>
  <c r="C22" i="63" s="1"/>
  <c r="H36" i="9"/>
  <c r="F36" i="9"/>
  <c r="D28" i="110"/>
  <c r="L28" i="110"/>
  <c r="I36" i="73"/>
  <c r="F28" i="107"/>
  <c r="H37" i="9"/>
  <c r="H28" i="9" s="1"/>
  <c r="F38" i="7"/>
  <c r="H39" i="130"/>
  <c r="N39" i="9"/>
  <c r="O21" i="83"/>
  <c r="K32" i="9"/>
  <c r="Q32" i="65"/>
  <c r="J32" i="9"/>
  <c r="F32" i="7"/>
  <c r="H32" i="8" s="1"/>
  <c r="I32" i="65"/>
  <c r="K27" i="102"/>
  <c r="H32" i="130"/>
  <c r="C28" i="125"/>
  <c r="I35" i="78"/>
  <c r="I35" i="9"/>
  <c r="G35" i="9"/>
  <c r="I28" i="12"/>
  <c r="H38" i="130"/>
  <c r="E32" i="9"/>
  <c r="G27" i="122"/>
  <c r="I32" i="78"/>
  <c r="L32" i="5"/>
  <c r="C32" i="6" s="1"/>
  <c r="H32" i="6" s="1"/>
  <c r="I33" i="9"/>
  <c r="K34" i="5"/>
  <c r="K27" i="5" s="1"/>
  <c r="N38" i="9"/>
  <c r="Q39" i="73"/>
  <c r="O39" i="9"/>
  <c r="K27" i="11"/>
  <c r="C27" i="65"/>
  <c r="I34" i="65"/>
  <c r="I27" i="65" s="1"/>
  <c r="J27" i="77"/>
  <c r="Q38" i="78"/>
  <c r="G38" i="9"/>
  <c r="Q32" i="78"/>
  <c r="C27" i="7"/>
  <c r="E27" i="8" s="1"/>
  <c r="E34" i="8"/>
  <c r="E35" i="8"/>
  <c r="E27" i="74"/>
  <c r="C25" i="63"/>
  <c r="C26" i="63" s="1"/>
  <c r="O27" i="75"/>
  <c r="D27" i="73"/>
  <c r="I34" i="73"/>
  <c r="I27" i="73" s="1"/>
  <c r="K21" i="15"/>
  <c r="E27" i="125"/>
  <c r="E22" i="125" s="1"/>
  <c r="E33" i="9"/>
  <c r="F33" i="7"/>
  <c r="H27" i="75"/>
  <c r="K27" i="73"/>
  <c r="Q34" i="73"/>
  <c r="Q27" i="73" s="1"/>
  <c r="K36" i="5"/>
  <c r="L36" i="5" s="1"/>
  <c r="C36" i="6" s="1"/>
  <c r="H36" i="6" s="1"/>
  <c r="M32" i="9"/>
  <c r="D28" i="12"/>
  <c r="D27" i="110"/>
  <c r="M33" i="122"/>
  <c r="Q33" i="78"/>
  <c r="Q33" i="73"/>
  <c r="J27" i="5"/>
  <c r="C28" i="105"/>
  <c r="K28" i="105"/>
  <c r="H28" i="106"/>
  <c r="K21" i="8"/>
  <c r="L21" i="15"/>
  <c r="M32" i="122"/>
  <c r="M27" i="120"/>
  <c r="F32" i="6"/>
  <c r="J32" i="12"/>
  <c r="D32" i="7" s="1"/>
  <c r="E32" i="7" s="1"/>
  <c r="G27" i="78"/>
  <c r="I34" i="78"/>
  <c r="F28" i="15"/>
  <c r="E37" i="6"/>
  <c r="E28" i="6" s="1"/>
  <c r="P28" i="15"/>
  <c r="H28" i="11"/>
  <c r="M37" i="9"/>
  <c r="M28" i="9" s="1"/>
  <c r="F28" i="10"/>
  <c r="G37" i="7"/>
  <c r="D37" i="9"/>
  <c r="D28" i="9" s="1"/>
  <c r="F28" i="122"/>
  <c r="J35" i="12"/>
  <c r="D35" i="7" s="1"/>
  <c r="E35" i="7" s="1"/>
  <c r="C28" i="11"/>
  <c r="H38" i="9"/>
  <c r="F39" i="9"/>
  <c r="I33" i="78"/>
  <c r="I33" i="73"/>
  <c r="I33" i="65"/>
  <c r="G33" i="6"/>
  <c r="G34" i="7"/>
  <c r="G27" i="7" s="1"/>
  <c r="I27" i="8" s="1"/>
  <c r="N27" i="17"/>
  <c r="G28" i="122"/>
  <c r="D35" i="9"/>
  <c r="H35" i="9"/>
  <c r="G37" i="9"/>
  <c r="D36" i="63"/>
  <c r="D37" i="63" s="1"/>
  <c r="M37" i="125"/>
  <c r="C38" i="9"/>
  <c r="I39" i="73"/>
  <c r="M39" i="9"/>
  <c r="M38" i="122"/>
  <c r="E39" i="9"/>
  <c r="Q36" i="65"/>
  <c r="M39" i="125"/>
  <c r="M39" i="122"/>
  <c r="Q39" i="78"/>
  <c r="I32" i="73"/>
  <c r="M32" i="125"/>
  <c r="J33" i="9"/>
  <c r="D36" i="9"/>
  <c r="E36" i="9"/>
  <c r="I28" i="10"/>
  <c r="I39" i="8"/>
  <c r="M34" i="122"/>
  <c r="M35" i="122"/>
  <c r="J28" i="110"/>
  <c r="D28" i="122"/>
  <c r="L28" i="122"/>
  <c r="I28" i="102"/>
  <c r="H28" i="107"/>
  <c r="D39" i="9"/>
  <c r="C33" i="9"/>
  <c r="Q34" i="78"/>
  <c r="I28" i="125"/>
  <c r="Q36" i="73"/>
  <c r="K28" i="110"/>
  <c r="H28" i="125"/>
  <c r="E28" i="122"/>
  <c r="D21" i="8"/>
  <c r="G21" i="8"/>
  <c r="I32" i="8"/>
  <c r="J21" i="8"/>
  <c r="Q32" i="73"/>
  <c r="C32" i="9"/>
  <c r="Q33" i="65"/>
  <c r="E34" i="6"/>
  <c r="C36" i="63"/>
  <c r="C37" i="63" s="1"/>
  <c r="I27" i="74"/>
  <c r="I27" i="75"/>
  <c r="L32" i="9"/>
  <c r="M33" i="125"/>
  <c r="J34" i="12"/>
  <c r="C35" i="9"/>
  <c r="D34" i="9"/>
  <c r="D27" i="9" s="1"/>
  <c r="H27" i="4"/>
  <c r="C9" i="63"/>
  <c r="F34" i="6"/>
  <c r="F27" i="6" s="1"/>
  <c r="N27" i="78"/>
  <c r="F33" i="9"/>
  <c r="J27" i="18"/>
  <c r="G27" i="64"/>
  <c r="H32" i="9"/>
  <c r="F34" i="9"/>
  <c r="F27" i="9" s="1"/>
  <c r="I27" i="10"/>
  <c r="P27" i="15"/>
  <c r="J27" i="10"/>
  <c r="G27" i="17"/>
  <c r="M35" i="125"/>
  <c r="N28" i="125"/>
  <c r="K34" i="9"/>
  <c r="E27" i="11"/>
  <c r="H34" i="130"/>
  <c r="H27" i="130" s="1"/>
  <c r="D27" i="130"/>
  <c r="H33" i="9"/>
  <c r="F33" i="6"/>
  <c r="L34" i="9"/>
  <c r="L27" i="9" s="1"/>
  <c r="E27" i="18"/>
  <c r="D27" i="106"/>
  <c r="D104" i="63"/>
  <c r="J28" i="77"/>
  <c r="C34" i="9"/>
  <c r="C27" i="9" s="1"/>
  <c r="G35" i="6"/>
  <c r="G36" i="9"/>
  <c r="D28" i="130"/>
  <c r="H37" i="130"/>
  <c r="H28" i="130" s="1"/>
  <c r="M28" i="17"/>
  <c r="Q38" i="73"/>
  <c r="M38" i="125"/>
  <c r="E35" i="9"/>
  <c r="F35" i="7"/>
  <c r="E38" i="8"/>
  <c r="I38" i="78"/>
  <c r="I38" i="65"/>
  <c r="N27" i="106"/>
  <c r="H33" i="130"/>
  <c r="C28" i="122"/>
  <c r="J35" i="9"/>
  <c r="M35" i="9"/>
  <c r="J36" i="12"/>
  <c r="D36" i="7" s="1"/>
  <c r="Q36" i="78"/>
  <c r="G28" i="125"/>
  <c r="M36" i="125"/>
  <c r="O36" i="9"/>
  <c r="L37" i="5"/>
  <c r="E39" i="8"/>
  <c r="I35" i="73"/>
  <c r="Q35" i="73"/>
  <c r="Q35" i="78"/>
  <c r="N28" i="122"/>
  <c r="M36" i="122"/>
  <c r="D28" i="74"/>
  <c r="M28" i="74"/>
  <c r="I28" i="75"/>
  <c r="H28" i="72"/>
  <c r="G28" i="18"/>
  <c r="C37" i="9"/>
  <c r="C28" i="17"/>
  <c r="I28" i="106"/>
  <c r="F35" i="9"/>
  <c r="Q35" i="65"/>
  <c r="I35" i="65"/>
  <c r="C36" i="9"/>
  <c r="I36" i="9"/>
  <c r="F37" i="6"/>
  <c r="H28" i="15"/>
  <c r="K28" i="14"/>
  <c r="H28" i="13"/>
  <c r="I28" i="11"/>
  <c r="N37" i="9"/>
  <c r="G28" i="10"/>
  <c r="E37" i="9"/>
  <c r="E28" i="9" s="1"/>
  <c r="L35" i="5"/>
  <c r="C35" i="6" s="1"/>
  <c r="H35" i="6" s="1"/>
  <c r="I28" i="122"/>
  <c r="M37" i="122"/>
  <c r="J28" i="65"/>
  <c r="I37" i="65"/>
  <c r="I28" i="65" s="1"/>
  <c r="Q37" i="65"/>
  <c r="Q28" i="65" s="1"/>
  <c r="O28" i="72"/>
  <c r="J28" i="73"/>
  <c r="D23" i="63"/>
  <c r="D24" i="63" s="1"/>
  <c r="I28" i="15"/>
  <c r="N36" i="9"/>
  <c r="Q37" i="78"/>
  <c r="Q28" i="78" s="1"/>
  <c r="I37" i="9"/>
  <c r="Q37" i="73"/>
  <c r="Q28" i="73" s="1"/>
  <c r="J28" i="78"/>
  <c r="D28" i="14"/>
  <c r="I38" i="73"/>
  <c r="J38" i="12"/>
  <c r="D38" i="7" s="1"/>
  <c r="O38" i="9"/>
  <c r="C39" i="9"/>
  <c r="I37" i="73"/>
  <c r="I28" i="73" s="1"/>
  <c r="I37" i="78"/>
  <c r="I28" i="78" s="1"/>
  <c r="I28" i="13"/>
  <c r="D25" i="63"/>
  <c r="D26" i="63" s="1"/>
  <c r="J28" i="64"/>
  <c r="J28" i="107"/>
  <c r="H39" i="9"/>
  <c r="Q39" i="65"/>
  <c r="J28" i="11"/>
  <c r="K38" i="5"/>
  <c r="L38" i="5" s="1"/>
  <c r="C38" i="6" s="1"/>
  <c r="H38" i="6" s="1"/>
  <c r="L39" i="9"/>
  <c r="O32" i="83"/>
  <c r="O33" i="83" s="1"/>
  <c r="O34" i="83" s="1"/>
  <c r="H32" i="83"/>
  <c r="H33" i="83" s="1"/>
  <c r="H34" i="83" s="1"/>
  <c r="I39" i="65"/>
  <c r="J39" i="9"/>
  <c r="I39" i="9"/>
  <c r="O40" i="101"/>
  <c r="O39" i="101"/>
  <c r="O20" i="101"/>
  <c r="O34" i="101"/>
  <c r="O36" i="101"/>
  <c r="O16" i="101"/>
  <c r="O18" i="101"/>
  <c r="O19" i="101"/>
  <c r="O38" i="101"/>
  <c r="O30" i="101"/>
  <c r="O31" i="101"/>
  <c r="O35" i="101"/>
  <c r="H39" i="108"/>
  <c r="H36" i="108" s="1"/>
  <c r="H8" i="108"/>
  <c r="F9" i="108"/>
  <c r="F8" i="108" s="1"/>
  <c r="F50" i="108" s="1"/>
  <c r="D50" i="108"/>
  <c r="B43" i="108"/>
  <c r="B27" i="108"/>
  <c r="E39" i="108"/>
  <c r="E36" i="108" s="1"/>
  <c r="G8" i="108"/>
  <c r="G50" i="108" s="1"/>
  <c r="C9" i="108"/>
  <c r="C39" i="108"/>
  <c r="B40" i="108"/>
  <c r="J38" i="8" l="1"/>
  <c r="I22" i="110"/>
  <c r="K22" i="125"/>
  <c r="G22" i="110"/>
  <c r="H28" i="8"/>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37" i="8"/>
  <c r="H29" i="83"/>
  <c r="H30" i="83" s="1"/>
  <c r="I28" i="83"/>
  <c r="C33" i="63"/>
  <c r="I37" i="7"/>
  <c r="H38" i="8"/>
  <c r="I36" i="7"/>
  <c r="I27" i="9"/>
  <c r="I29" i="83"/>
  <c r="E30" i="83"/>
  <c r="D42" i="8"/>
  <c r="D35" i="63"/>
  <c r="G27" i="9"/>
  <c r="D29" i="63"/>
  <c r="D31" i="63" s="1"/>
  <c r="P27" i="83"/>
  <c r="Q27" i="83" s="1"/>
  <c r="I21" i="83"/>
  <c r="J35" i="8"/>
  <c r="C29" i="63"/>
  <c r="C31" i="63" s="1"/>
  <c r="O27" i="9"/>
  <c r="H34" i="8"/>
  <c r="I29" i="7"/>
  <c r="K30" i="8" s="1"/>
  <c r="J29" i="8"/>
  <c r="E50" i="108"/>
  <c r="B39" i="108"/>
  <c r="H50" i="108"/>
  <c r="I38" i="7"/>
  <c r="L34" i="5"/>
  <c r="C34" i="6" s="1"/>
  <c r="P28" i="83"/>
  <c r="L29" i="83"/>
  <c r="F40" i="8"/>
  <c r="E39" i="7"/>
  <c r="C40" i="6"/>
  <c r="H39" i="8"/>
  <c r="I39" i="7"/>
  <c r="K40" i="8" s="1"/>
  <c r="E30" i="63"/>
  <c r="E33" i="63"/>
  <c r="M29" i="122"/>
  <c r="I32" i="7"/>
  <c r="K32" i="8" s="1"/>
  <c r="H33" i="8"/>
  <c r="J28" i="12"/>
  <c r="M29" i="125"/>
  <c r="H29" i="8"/>
  <c r="E40" i="7"/>
  <c r="D29" i="7"/>
  <c r="F30" i="8" s="1"/>
  <c r="I33" i="7"/>
  <c r="F38" i="8"/>
  <c r="E28" i="8"/>
  <c r="I39" i="6"/>
  <c r="I32" i="6"/>
  <c r="P21" i="83"/>
  <c r="J40" i="8"/>
  <c r="F33" i="8"/>
  <c r="I34" i="8"/>
  <c r="I35" i="8"/>
  <c r="M27" i="122"/>
  <c r="J28" i="8"/>
  <c r="J27" i="8"/>
  <c r="M28" i="122"/>
  <c r="J39" i="8"/>
  <c r="I34" i="7"/>
  <c r="J32" i="8"/>
  <c r="F39" i="8"/>
  <c r="I33" i="6"/>
  <c r="Q27" i="78"/>
  <c r="G28" i="9"/>
  <c r="D27" i="63"/>
  <c r="D28" i="63" s="1"/>
  <c r="G28" i="7"/>
  <c r="I38" i="8"/>
  <c r="M27" i="125"/>
  <c r="I37" i="8"/>
  <c r="I27" i="78"/>
  <c r="N28" i="9"/>
  <c r="I28" i="9"/>
  <c r="D19" i="63"/>
  <c r="I35" i="7"/>
  <c r="H36" i="8"/>
  <c r="H35" i="8"/>
  <c r="J33" i="8"/>
  <c r="J34" i="8"/>
  <c r="K27" i="9"/>
  <c r="D34" i="7"/>
  <c r="C35" i="63"/>
  <c r="J27" i="12"/>
  <c r="F32" i="8"/>
  <c r="F28" i="6"/>
  <c r="C28" i="9"/>
  <c r="C37" i="6"/>
  <c r="L28" i="5"/>
  <c r="F36" i="8"/>
  <c r="E36" i="7"/>
  <c r="E38" i="7"/>
  <c r="I35" i="6"/>
  <c r="J37" i="8"/>
  <c r="J36" i="8"/>
  <c r="I38" i="6"/>
  <c r="I36" i="6"/>
  <c r="E37" i="7"/>
  <c r="F37" i="8"/>
  <c r="D28" i="7"/>
  <c r="G33" i="8"/>
  <c r="E27" i="6"/>
  <c r="M28" i="125"/>
  <c r="H35" i="83"/>
  <c r="H36" i="83" s="1"/>
  <c r="H37" i="83" s="1"/>
  <c r="C83" i="63"/>
  <c r="C84" i="63"/>
  <c r="O35" i="83"/>
  <c r="O36" i="83" s="1"/>
  <c r="O37" i="83" s="1"/>
  <c r="C36" i="108"/>
  <c r="B36" i="108" s="1"/>
  <c r="C8" i="108"/>
  <c r="B9" i="108"/>
  <c r="L27" i="5" l="1"/>
  <c r="K37" i="8"/>
  <c r="D30" i="63"/>
  <c r="D20" i="63"/>
  <c r="K36" i="8"/>
  <c r="I28" i="7"/>
  <c r="K29" i="8" s="1"/>
  <c r="M22" i="125"/>
  <c r="M22" i="122"/>
  <c r="C30" i="63"/>
  <c r="Q28" i="83"/>
  <c r="Q21" i="83"/>
  <c r="I30" i="83"/>
  <c r="K38" i="8"/>
  <c r="P29" i="83"/>
  <c r="Q29" i="83" s="1"/>
  <c r="L30" i="83"/>
  <c r="P30" i="83" s="1"/>
  <c r="J39" i="6"/>
  <c r="K33" i="8"/>
  <c r="G40" i="8"/>
  <c r="G41" i="8"/>
  <c r="H40" i="6"/>
  <c r="I40" i="6" s="1"/>
  <c r="E13" i="63" s="1"/>
  <c r="E15" i="63" s="1"/>
  <c r="K34" i="8"/>
  <c r="J33" i="6"/>
  <c r="C33" i="8" s="1"/>
  <c r="C29" i="6"/>
  <c r="K39" i="8"/>
  <c r="I27" i="7"/>
  <c r="K27" i="8" s="1"/>
  <c r="I28" i="8"/>
  <c r="I29" i="8"/>
  <c r="F29" i="8"/>
  <c r="J32" i="6"/>
  <c r="J32" i="7" s="1"/>
  <c r="E29" i="7"/>
  <c r="G30" i="8" s="1"/>
  <c r="J35" i="6"/>
  <c r="C35" i="8" s="1"/>
  <c r="C27" i="6"/>
  <c r="H34" i="6"/>
  <c r="K35" i="8"/>
  <c r="G32" i="8"/>
  <c r="D27" i="7"/>
  <c r="F27" i="8" s="1"/>
  <c r="E34" i="7"/>
  <c r="F35" i="8"/>
  <c r="F34" i="8"/>
  <c r="C28" i="6"/>
  <c r="H37" i="6"/>
  <c r="J36" i="6"/>
  <c r="G38" i="8"/>
  <c r="G39" i="8"/>
  <c r="J38" i="6"/>
  <c r="G36" i="8"/>
  <c r="E28" i="7"/>
  <c r="G37" i="8"/>
  <c r="D33" i="63"/>
  <c r="L32" i="83"/>
  <c r="O38" i="83"/>
  <c r="O39" i="83" s="1"/>
  <c r="O40" i="83" s="1"/>
  <c r="D84" i="63"/>
  <c r="H38" i="83"/>
  <c r="H39" i="83" s="1"/>
  <c r="H40" i="83" s="1"/>
  <c r="D83" i="63"/>
  <c r="B8" i="108"/>
  <c r="C50" i="108"/>
  <c r="B50" i="108" s="1"/>
  <c r="F14" i="63" l="1"/>
  <c r="Q30" i="83"/>
  <c r="C39" i="8"/>
  <c r="J39" i="7"/>
  <c r="J33" i="7"/>
  <c r="H29" i="6"/>
  <c r="E84" i="63"/>
  <c r="O41" i="83"/>
  <c r="O42" i="83" s="1"/>
  <c r="O43" i="83" s="1"/>
  <c r="F84" i="63" s="1"/>
  <c r="E83" i="63"/>
  <c r="H41" i="83"/>
  <c r="H42" i="83" s="1"/>
  <c r="H43" i="83" s="1"/>
  <c r="F83" i="63" s="1"/>
  <c r="E11" i="63"/>
  <c r="F12" i="63" s="1"/>
  <c r="J35" i="7"/>
  <c r="K28" i="8"/>
  <c r="C32" i="8"/>
  <c r="D32" i="8" s="1"/>
  <c r="G29" i="8"/>
  <c r="I29" i="6"/>
  <c r="J40" i="6"/>
  <c r="E16" i="63" s="1"/>
  <c r="F17" i="63" s="1"/>
  <c r="C11" i="63"/>
  <c r="C12" i="63" s="1"/>
  <c r="H27" i="6"/>
  <c r="I34" i="6"/>
  <c r="C36" i="8"/>
  <c r="D36" i="8" s="1"/>
  <c r="J36" i="7"/>
  <c r="F28" i="8"/>
  <c r="E27" i="7"/>
  <c r="G27" i="8" s="1"/>
  <c r="G34" i="8"/>
  <c r="G35" i="8"/>
  <c r="J38" i="7"/>
  <c r="C38" i="8"/>
  <c r="H28" i="6"/>
  <c r="D11" i="63"/>
  <c r="I37" i="6"/>
  <c r="E32" i="83"/>
  <c r="L33" i="83"/>
  <c r="P32" i="83"/>
  <c r="D39" i="8" l="1"/>
  <c r="E12" i="63"/>
  <c r="D33" i="8"/>
  <c r="J29" i="6"/>
  <c r="J40" i="7"/>
  <c r="C40" i="8"/>
  <c r="D41" i="8" s="1"/>
  <c r="C13" i="63"/>
  <c r="C15" i="63" s="1"/>
  <c r="J34" i="6"/>
  <c r="I27" i="6"/>
  <c r="D12" i="63"/>
  <c r="I28" i="6"/>
  <c r="J37" i="6"/>
  <c r="D13" i="63"/>
  <c r="G28" i="8"/>
  <c r="L34" i="83"/>
  <c r="P33" i="83"/>
  <c r="I32" i="83"/>
  <c r="Q32" i="83" s="1"/>
  <c r="E33" i="83"/>
  <c r="E14" i="63" l="1"/>
  <c r="D15" i="63"/>
  <c r="J29" i="7"/>
  <c r="C29" i="8"/>
  <c r="D30" i="8" s="1"/>
  <c r="D40" i="8"/>
  <c r="J34" i="7"/>
  <c r="C16" i="63"/>
  <c r="C17" i="63" s="1"/>
  <c r="J27" i="6"/>
  <c r="C34" i="8"/>
  <c r="C14" i="63"/>
  <c r="D16" i="63"/>
  <c r="E17" i="63" s="1"/>
  <c r="J28" i="6"/>
  <c r="J37" i="7"/>
  <c r="C37" i="8"/>
  <c r="D14" i="63"/>
  <c r="C85" i="63"/>
  <c r="P34" i="83"/>
  <c r="L35" i="83"/>
  <c r="I33" i="83"/>
  <c r="Q33" i="83" s="1"/>
  <c r="E34" i="83"/>
  <c r="D17" i="63" l="1"/>
  <c r="J27" i="7"/>
  <c r="D35" i="8"/>
  <c r="C27" i="8"/>
  <c r="D27" i="8" s="1"/>
  <c r="D34" i="8"/>
  <c r="D37" i="8"/>
  <c r="C28" i="8"/>
  <c r="D29" i="8" s="1"/>
  <c r="D38" i="8"/>
  <c r="J28" i="7"/>
  <c r="L36" i="83"/>
  <c r="P35" i="83"/>
  <c r="C82" i="63"/>
  <c r="I34" i="83"/>
  <c r="Q34" i="83" s="1"/>
  <c r="C80" i="63" s="1"/>
  <c r="E35" i="83"/>
  <c r="D28" i="8" l="1"/>
  <c r="E36" i="83"/>
  <c r="I35" i="83"/>
  <c r="Q35" i="83" s="1"/>
  <c r="L37" i="83"/>
  <c r="P36" i="83"/>
  <c r="I36" i="83" l="1"/>
  <c r="Q36" i="83" s="1"/>
  <c r="E37" i="83"/>
  <c r="P37" i="83"/>
  <c r="L38" i="83"/>
  <c r="D85" i="63"/>
  <c r="P38" i="83" l="1"/>
  <c r="L39" i="83"/>
  <c r="I37" i="83"/>
  <c r="Q37" i="83" s="1"/>
  <c r="D80" i="63" s="1"/>
  <c r="D82" i="63"/>
  <c r="E38" i="83"/>
  <c r="P39" i="83" l="1"/>
  <c r="L40" i="83"/>
  <c r="L41" i="83" s="1"/>
  <c r="I38" i="83"/>
  <c r="Q38" i="83" s="1"/>
  <c r="E39" i="83"/>
  <c r="P41" i="83" l="1"/>
  <c r="L42" i="83"/>
  <c r="P40" i="83"/>
  <c r="E85" i="63"/>
  <c r="I39" i="83"/>
  <c r="Q39" i="83" s="1"/>
  <c r="E40" i="83"/>
  <c r="E41" i="83" s="1"/>
  <c r="P42" i="83" l="1"/>
  <c r="L43" i="83"/>
  <c r="I41" i="83"/>
  <c r="Q41" i="83" s="1"/>
  <c r="E42" i="83"/>
  <c r="I40" i="83"/>
  <c r="Q40" i="83" s="1"/>
  <c r="E80" i="63" s="1"/>
  <c r="E82" i="63"/>
  <c r="P43" i="83" l="1"/>
  <c r="F85" i="63"/>
  <c r="I42" i="83"/>
  <c r="Q42" i="83" s="1"/>
  <c r="E43" i="83"/>
  <c r="I43" i="83" l="1"/>
  <c r="Q43" i="83" s="1"/>
  <c r="F80" i="63" s="1"/>
  <c r="F81" i="63" s="1"/>
  <c r="F82" i="63"/>
</calcChain>
</file>

<file path=xl/sharedStrings.xml><?xml version="1.0" encoding="utf-8"?>
<sst xmlns="http://schemas.openxmlformats.org/spreadsheetml/2006/main" count="5371" uniqueCount="1797">
  <si>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</si>
  <si>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</si>
  <si>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</si>
  <si>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</si>
  <si>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</si>
  <si>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</si>
  <si>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</si>
  <si>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</si>
  <si>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</si>
  <si>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</si>
  <si>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</si>
  <si>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</si>
  <si>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</si>
  <si>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</si>
  <si>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</si>
  <si>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</si>
  <si>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</si>
  <si>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</si>
  <si>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</si>
  <si>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</si>
  <si>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</si>
  <si>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</si>
  <si>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</si>
  <si>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</si>
  <si>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</si>
  <si>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</si>
  <si>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</si>
  <si>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</si>
  <si>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</si>
  <si>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</si>
  <si>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</si>
  <si>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</si>
  <si>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</si>
  <si>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</si>
  <si>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</si>
  <si>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</si>
  <si>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</si>
  <si>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</si>
  <si>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</si>
  <si>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</si>
  <si>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</si>
  <si>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</si>
  <si>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</si>
  <si>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</si>
  <si>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</si>
  <si>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</si>
  <si>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</si>
  <si>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</si>
  <si>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</si>
  <si>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</si>
  <si>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</si>
  <si>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</si>
  <si>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</si>
  <si>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</si>
  <si>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</si>
  <si>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</si>
  <si>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</si>
  <si>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</si>
  <si>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</si>
  <si>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</si>
  <si>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</si>
  <si>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</si>
  <si>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</si>
  <si>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</si>
  <si>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</si>
  <si>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</si>
  <si>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</si>
  <si>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</si>
  <si>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</si>
  <si>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</si>
  <si>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</si>
  <si>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</si>
  <si>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</si>
  <si>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</si>
  <si>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</si>
  <si>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</si>
  <si>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</si>
  <si>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</si>
  <si>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</si>
  <si>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</si>
  <si>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</si>
  <si>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</si>
  <si>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</si>
  <si>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</si>
  <si>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</si>
  <si>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</si>
  <si>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</si>
  <si>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</si>
  <si>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</si>
  <si>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</si>
  <si>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</si>
  <si>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</si>
  <si>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</si>
  <si>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</si>
  <si>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</si>
  <si>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</si>
  <si>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</si>
  <si>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</si>
  <si>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</si>
  <si>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</si>
  <si>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</si>
  <si>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</si>
  <si>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</si>
  <si>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</si>
  <si>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</si>
  <si>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</si>
  <si>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</si>
  <si>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</si>
  <si>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</si>
  <si>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</si>
  <si>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</si>
  <si>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</si>
  <si>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</si>
  <si>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</si>
  <si>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</si>
  <si>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</si>
  <si>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</si>
  <si>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</si>
  <si>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</si>
  <si>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</si>
  <si>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</si>
  <si>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</si>
  <si>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</si>
  <si>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</si>
  <si>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</si>
  <si>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</si>
  <si>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</si>
  <si>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</si>
  <si>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</si>
  <si>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</si>
  <si>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</si>
  <si>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</si>
  <si>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</si>
  <si>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</si>
  <si>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</si>
  <si>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</si>
  <si>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</si>
  <si>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</si>
  <si>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</si>
  <si>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</si>
  <si>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</si>
  <si>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</si>
  <si>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</si>
  <si>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</si>
  <si>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</si>
  <si>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</si>
  <si>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</si>
  <si>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</si>
  <si>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</si>
  <si>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</si>
  <si>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</si>
  <si>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</si>
  <si>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</si>
  <si>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</si>
  <si>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</si>
  <si>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</si>
  <si>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</si>
  <si>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</si>
  <si>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</si>
  <si>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</si>
  <si>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</si>
  <si>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</si>
  <si>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</si>
  <si>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</si>
  <si>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</si>
  <si>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</si>
  <si>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</si>
  <si>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</si>
  <si>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</si>
  <si>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</si>
  <si>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</si>
  <si>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</si>
  <si>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</si>
  <si>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</si>
  <si>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</si>
  <si>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</si>
  <si>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</si>
  <si>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</si>
  <si>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</si>
  <si>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</si>
  <si>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</si>
  <si>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</si>
  <si>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</si>
  <si>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</si>
  <si>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</si>
  <si>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</si>
  <si>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</si>
  <si>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</si>
  <si>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</si>
  <si>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</si>
  <si>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</si>
  <si>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</si>
  <si>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</si>
  <si>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</si>
  <si>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</si>
  <si>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</si>
  <si>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</si>
  <si>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</si>
  <si>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</si>
  <si>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</si>
  <si>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</si>
  <si>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</si>
  <si>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</si>
  <si>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</si>
  <si>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</si>
  <si>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</si>
  <si>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</si>
  <si>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</si>
  <si>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</si>
  <si>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</si>
  <si>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</si>
  <si>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</si>
  <si>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</si>
  <si>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</si>
  <si>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</si>
  <si>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</si>
  <si>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</si>
  <si>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</si>
  <si>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</si>
  <si>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</si>
  <si>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</si>
  <si>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</si>
  <si>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</si>
  <si>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</si>
  <si>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</si>
  <si>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</si>
  <si>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</si>
  <si>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</si>
  <si>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</si>
  <si>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</si>
  <si>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</si>
  <si>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</si>
  <si>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February 18th, 2024</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</si>
  <si>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</si>
  <si>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</si>
  <si>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</si>
  <si>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</si>
  <si>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</si>
  <si>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</si>
  <si>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</si>
  <si>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</si>
  <si>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</si>
  <si>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</si>
  <si>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</si>
  <si>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</si>
  <si>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</si>
  <si>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</si>
  <si>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</si>
  <si>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</si>
  <si>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</si>
  <si>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</si>
  <si>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</si>
  <si>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</si>
  <si>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</si>
  <si>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</si>
  <si>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</si>
  <si>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</si>
  <si>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</si>
  <si>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</si>
  <si>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</si>
  <si>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</si>
  <si>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</si>
  <si>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</si>
  <si>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</si>
  <si>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</si>
  <si>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</si>
  <si>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</si>
  <si>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</si>
  <si>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</si>
  <si>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</si>
  <si>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</si>
  <si>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</si>
  <si>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</si>
  <si>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</si>
  <si>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</si>
  <si>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</si>
  <si>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</si>
  <si>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</si>
  <si>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</si>
  <si>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</si>
  <si>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</si>
  <si>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</si>
  <si>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</si>
  <si>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</si>
  <si>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</si>
  <si>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</si>
  <si>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</si>
  <si>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</si>
  <si>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</si>
  <si>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</si>
  <si>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</si>
  <si>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</si>
  <si>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</si>
  <si>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</si>
  <si>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</si>
  <si>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</si>
  <si>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</si>
  <si>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</si>
  <si>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</si>
  <si>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</si>
  <si>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</si>
  <si>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</si>
  <si>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</si>
  <si>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</si>
  <si>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</si>
  <si>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</si>
  <si>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</si>
  <si>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</si>
  <si>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</si>
  <si>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</si>
  <si>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</si>
  <si>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</si>
  <si>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</si>
  <si>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</si>
  <si>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</si>
  <si>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</si>
  <si>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</si>
  <si>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</si>
  <si>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</si>
  <si>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</si>
  <si>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</si>
  <si>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</si>
  <si>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</si>
  <si>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</si>
  <si>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</si>
  <si>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</si>
  <si>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</si>
  <si>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</si>
  <si>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</si>
  <si>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</si>
  <si>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</si>
  <si>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</si>
  <si>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</si>
  <si>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</si>
  <si>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</si>
  <si>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</si>
  <si>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</si>
  <si>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</si>
  <si>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</si>
  <si>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</si>
  <si>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</si>
  <si>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</si>
  <si>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</si>
  <si>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</si>
  <si>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</si>
  <si>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</si>
  <si>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</si>
  <si>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</si>
  <si>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</si>
  <si>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</si>
  <si>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</si>
  <si>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</si>
  <si>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</si>
  <si>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</si>
  <si>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</si>
  <si>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</si>
  <si>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</si>
  <si>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</si>
  <si>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</si>
  <si>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</si>
  <si>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</si>
  <si>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</si>
  <si>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</si>
  <si>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</si>
  <si>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</si>
  <si>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</si>
  <si>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</si>
  <si>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</si>
  <si>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</si>
  <si>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</si>
  <si>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</si>
  <si>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</si>
  <si>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</si>
  <si>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</si>
  <si>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</si>
  <si>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</si>
  <si>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</si>
  <si>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</si>
  <si>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</si>
  <si>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</si>
  <si>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</si>
  <si>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</si>
  <si>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</si>
  <si>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</si>
  <si>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</si>
  <si>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</si>
  <si>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</si>
  <si>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</si>
  <si>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</si>
  <si>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</si>
  <si>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</si>
  <si>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</si>
  <si>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</si>
  <si>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</si>
  <si>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</si>
  <si>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</si>
  <si>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</si>
  <si>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</si>
  <si>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</si>
  <si>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</si>
  <si>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</si>
  <si>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</si>
  <si>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</si>
  <si>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</si>
  <si>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</si>
  <si>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</si>
  <si>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</si>
  <si>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</si>
  <si>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</si>
  <si>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</si>
  <si>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</si>
  <si>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</si>
  <si>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</si>
  <si>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</si>
  <si>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</si>
  <si>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</si>
  <si>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</si>
  <si>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</si>
  <si>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</si>
  <si>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</si>
  <si>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</si>
  <si>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</si>
  <si>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</si>
  <si>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</si>
  <si>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</si>
  <si>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</si>
  <si>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</si>
  <si>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</si>
  <si>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</si>
  <si>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</si>
  <si>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</si>
  <si>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</si>
  <si>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</si>
  <si>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</si>
  <si>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</si>
  <si>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</si>
  <si>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</si>
  <si>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</si>
  <si>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</si>
  <si>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</si>
  <si>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</si>
  <si>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</si>
  <si>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</si>
  <si>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</si>
  <si>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</si>
  <si>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</si>
  <si>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</si>
  <si>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</si>
  <si>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</si>
  <si>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</si>
  <si>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</si>
  <si>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</si>
  <si>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</si>
  <si>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</si>
  <si>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</si>
  <si>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</si>
  <si>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</si>
  <si>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</si>
  <si>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</si>
  <si>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</si>
  <si>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</si>
  <si>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</si>
  <si>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</si>
  <si>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</si>
  <si>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</si>
  <si>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</si>
  <si>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</si>
  <si>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</si>
  <si>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</si>
  <si>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</si>
  <si>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</si>
  <si>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</si>
  <si>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</si>
  <si>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</si>
  <si>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</si>
  <si>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</si>
  <si>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</si>
  <si>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</si>
  <si>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</si>
  <si>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</si>
  <si>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</si>
  <si>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</si>
  <si>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</si>
  <si>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</si>
  <si>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</si>
  <si>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</si>
  <si>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</si>
  <si>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</si>
  <si>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</si>
  <si>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</si>
  <si>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</si>
  <si>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</si>
  <si>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</si>
  <si>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</si>
  <si>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</si>
  <si>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</si>
  <si>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</si>
  <si>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</si>
  <si>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</si>
  <si>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</si>
  <si>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</si>
  <si>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</si>
  <si>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</si>
  <si>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</si>
  <si>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</si>
  <si>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</si>
  <si>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</si>
  <si>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</si>
  <si>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</si>
  <si>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</si>
  <si>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</si>
  <si>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</si>
  <si>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</si>
  <si>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</si>
  <si>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</si>
  <si>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</si>
  <si>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</si>
  <si>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</si>
  <si>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</si>
  <si>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</si>
  <si>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</si>
  <si>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</si>
  <si>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</si>
  <si>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</si>
  <si>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</si>
  <si>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</si>
  <si>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</si>
  <si>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</si>
  <si>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</si>
  <si>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</si>
  <si>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</si>
  <si>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</si>
  <si>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</si>
  <si>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</si>
  <si>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</si>
  <si>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</si>
  <si>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</si>
  <si>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</si>
  <si>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</si>
  <si>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</si>
  <si>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</si>
  <si>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</si>
  <si>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</si>
  <si>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</si>
  <si>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</si>
  <si>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</si>
  <si>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</si>
  <si>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</si>
  <si>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</si>
  <si>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</si>
  <si>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</si>
  <si>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</si>
  <si>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</si>
  <si>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</si>
  <si>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</si>
  <si>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</si>
  <si>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</si>
  <si>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</si>
  <si>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</si>
  <si>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</si>
  <si>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</si>
  <si>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</si>
  <si>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</si>
  <si>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</si>
  <si>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</si>
  <si>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</si>
  <si>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</si>
  <si>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</si>
  <si>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</si>
  <si>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</si>
  <si>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</si>
  <si>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</si>
  <si>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</si>
  <si>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</si>
  <si>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</si>
  <si>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</si>
  <si>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</si>
  <si>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</si>
  <si>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</si>
  <si>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</si>
  <si>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</si>
  <si>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</si>
  <si>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</si>
  <si>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</si>
  <si>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</si>
  <si>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</si>
  <si>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</si>
  <si>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</si>
  <si>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</si>
  <si>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</si>
  <si>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</si>
  <si>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</si>
  <si>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</si>
  <si>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</si>
  <si>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</si>
  <si>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</si>
  <si>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</si>
  <si>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</si>
  <si>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</si>
  <si>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</si>
  <si>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</si>
  <si>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</si>
  <si>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</si>
  <si>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</si>
  <si>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</si>
  <si>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</si>
  <si>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</si>
  <si>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</si>
  <si>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</si>
  <si>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</si>
  <si>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</si>
  <si>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</si>
  <si>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</si>
  <si>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</si>
  <si>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</si>
  <si>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</si>
  <si>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</si>
  <si>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</si>
  <si>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</si>
  <si>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</si>
  <si>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</si>
  <si>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</si>
  <si>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</si>
  <si>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</si>
  <si>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</si>
  <si>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</si>
  <si>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</si>
  <si>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</si>
  <si>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</si>
  <si>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</si>
  <si>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</si>
  <si>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</si>
  <si>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</si>
  <si>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</si>
  <si>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</si>
  <si>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</si>
  <si>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</si>
  <si>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</si>
  <si>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</si>
  <si>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</si>
  <si>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</si>
  <si>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</si>
  <si>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</si>
  <si>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</si>
  <si>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</si>
  <si>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</si>
  <si>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</si>
  <si>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</si>
  <si>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</si>
  <si>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</si>
  <si>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</si>
  <si>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</si>
  <si>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</si>
  <si>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</si>
  <si>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</si>
  <si>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</si>
  <si>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</si>
  <si>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</si>
  <si>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</si>
  <si>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</si>
  <si>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</si>
  <si>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</si>
  <si>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</si>
  <si>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</si>
  <si>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</si>
  <si>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</si>
  <si>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</si>
  <si>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</si>
  <si>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Ahli United Bank</t>
  </si>
  <si>
    <t>البنك الأهلي المتحد</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</si>
  <si>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</si>
  <si>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</si>
  <si>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</si>
  <si>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</si>
  <si>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</si>
  <si>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</si>
  <si>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</si>
  <si>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</si>
  <si>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</si>
  <si>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</si>
  <si>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</si>
  <si>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</si>
  <si>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</si>
  <si>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</si>
  <si>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</si>
  <si>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</si>
  <si>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</si>
  <si>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</si>
  <si>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</si>
  <si>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</si>
  <si>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</si>
  <si>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</si>
  <si>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</si>
  <si>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</si>
  <si>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</si>
  <si>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</si>
  <si>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</si>
  <si>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</si>
  <si>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</si>
  <si>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</si>
  <si>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</si>
  <si>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</si>
  <si>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</si>
  <si>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</si>
  <si>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</si>
  <si>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</si>
  <si>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</si>
  <si>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</si>
  <si>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</si>
  <si>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</si>
  <si>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</si>
  <si>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</si>
  <si>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</si>
  <si>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</si>
  <si>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</si>
  <si>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</si>
  <si>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</si>
  <si>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03.01.2024</t>
  </si>
  <si>
    <t>17.01.2024</t>
  </si>
  <si>
    <t>18.01.2024</t>
  </si>
  <si>
    <t>24.01.2024</t>
  </si>
  <si>
    <t>28.01.2024</t>
  </si>
  <si>
    <t>31.01.2024</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</si>
  <si>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</si>
  <si>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</si>
  <si>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</si>
  <si>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</si>
  <si>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</si>
  <si>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</si>
  <si>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</si>
  <si>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</si>
  <si>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</si>
  <si>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</si>
  <si>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</si>
  <si>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</si>
  <si>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</si>
  <si>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</si>
  <si>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</si>
  <si>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</si>
  <si>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</si>
  <si>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</si>
  <si>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</si>
  <si>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</si>
  <si>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</si>
  <si>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</si>
  <si>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</si>
  <si>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</si>
  <si>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</si>
  <si>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</si>
  <si>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</si>
  <si>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</si>
  <si>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</si>
  <si>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</si>
  <si>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</si>
  <si>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</si>
  <si>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</si>
  <si>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</si>
  <si>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</si>
  <si>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</si>
  <si>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</si>
  <si>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</si>
  <si>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</si>
  <si>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</si>
  <si>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</si>
  <si>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</si>
  <si>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</si>
  <si>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</si>
  <si>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</si>
  <si>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</si>
  <si>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</si>
  <si>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</si>
  <si>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</si>
  <si>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</si>
  <si>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</si>
  <si>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</si>
  <si>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</si>
  <si>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</si>
  <si>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</si>
  <si>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</si>
  <si>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</si>
  <si>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</si>
  <si>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</si>
  <si>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</si>
  <si>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</si>
  <si>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</si>
  <si>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</si>
  <si>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</si>
  <si>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</si>
  <si>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</si>
  <si>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</si>
  <si>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</si>
  <si>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</si>
  <si>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</si>
  <si>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</si>
  <si>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</si>
  <si>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</si>
  <si>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</si>
  <si>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</si>
  <si>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</si>
  <si>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</si>
  <si>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</si>
  <si>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</si>
  <si>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</si>
  <si>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</si>
  <si>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</si>
  <si>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</si>
  <si>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</si>
  <si>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</si>
  <si>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</si>
  <si>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</si>
  <si>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</si>
  <si>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</si>
  <si>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</si>
  <si>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</si>
  <si>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</si>
  <si>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</si>
  <si>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</si>
  <si>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</si>
  <si>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</si>
  <si>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</si>
  <si>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</si>
  <si>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</si>
  <si>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</si>
  <si>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</si>
  <si>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</si>
  <si>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</si>
  <si>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</si>
  <si>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</si>
  <si>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</si>
  <si>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</si>
  <si>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</si>
  <si>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</si>
  <si>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</si>
  <si>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</si>
  <si>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</si>
  <si>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</si>
  <si>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</si>
  <si>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</si>
  <si>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</si>
  <si>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</si>
  <si>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</si>
  <si>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</si>
  <si>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</si>
  <si>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</si>
  <si>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</si>
  <si>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</si>
  <si>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</si>
  <si>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</si>
  <si>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</si>
  <si>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</si>
  <si>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</si>
  <si>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</si>
  <si>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</si>
  <si>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</si>
  <si>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</si>
  <si>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20).</t>
  </si>
  <si>
    <t>January 2023 (Refer to Table 20).</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</si>
  <si>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</si>
  <si>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</si>
  <si>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</si>
  <si>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</si>
  <si>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</si>
  <si>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</si>
  <si>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</si>
  <si>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</si>
  <si>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</si>
  <si>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</si>
  <si>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</si>
  <si>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</si>
  <si>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</si>
  <si>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</si>
  <si>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</si>
  <si>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</si>
  <si>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</si>
  <si>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</si>
  <si>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</si>
  <si>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</si>
  <si>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</si>
  <si>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</si>
  <si>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</si>
  <si>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</si>
  <si>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</si>
  <si>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</si>
  <si>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</si>
  <si>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</si>
  <si>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</si>
  <si>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</si>
  <si>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</si>
  <si>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</si>
  <si>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</si>
  <si>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</si>
  <si>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</si>
  <si>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</si>
  <si>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</si>
  <si>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</si>
  <si>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</si>
  <si>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</si>
  <si>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</si>
  <si>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</si>
  <si>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</si>
  <si>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</si>
  <si>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</si>
  <si>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</si>
  <si>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</si>
  <si>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</si>
  <si>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</si>
  <si>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</si>
  <si>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</si>
  <si>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</si>
  <si>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</si>
  <si>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</si>
  <si>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</si>
  <si>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</si>
  <si>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</si>
  <si>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</si>
  <si>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</si>
  <si>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</si>
  <si>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</si>
  <si>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</si>
  <si>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</si>
  <si>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</si>
  <si>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</si>
  <si>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</si>
  <si>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</si>
  <si>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</si>
  <si>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</si>
  <si>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</si>
  <si>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</si>
  <si>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</si>
  <si>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</si>
  <si>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</si>
  <si>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</si>
  <si>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</si>
  <si>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</si>
  <si>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</si>
  <si>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</si>
  <si>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</si>
  <si>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</si>
  <si>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</si>
  <si>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</si>
  <si>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</si>
  <si>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</si>
  <si>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</si>
  <si>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</si>
  <si>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</si>
  <si>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</si>
  <si>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</si>
  <si>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</si>
  <si>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</si>
  <si>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</si>
  <si>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</si>
  <si>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</si>
  <si>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</si>
  <si>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</si>
  <si>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</si>
  <si>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</si>
  <si>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</si>
  <si>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</si>
  <si>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</si>
  <si>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</si>
  <si>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</si>
  <si>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</si>
  <si>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</si>
  <si>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</si>
  <si>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</si>
  <si>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</si>
  <si>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</si>
  <si>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</si>
  <si>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</si>
  <si>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</si>
  <si>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</si>
  <si>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</si>
  <si>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</si>
  <si>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</si>
  <si>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</si>
  <si>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</si>
  <si>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</si>
  <si>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</si>
  <si>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</si>
  <si>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</si>
  <si>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</si>
  <si>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</si>
  <si>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</si>
  <si>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</si>
  <si>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</si>
  <si>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</si>
  <si>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</si>
  <si>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</si>
  <si>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</si>
  <si>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</si>
  <si>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</si>
  <si>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</si>
  <si>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</si>
  <si>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</si>
  <si>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</si>
  <si>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</si>
  <si>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</si>
  <si>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</si>
  <si>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</si>
  <si>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</si>
  <si>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</si>
  <si>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</si>
  <si>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</si>
  <si>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</si>
  <si>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</si>
  <si>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</si>
  <si>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</si>
  <si>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</si>
  <si>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</si>
  <si>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</si>
  <si>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</si>
  <si>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</si>
  <si>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</si>
  <si>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</si>
  <si>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</si>
  <si>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</si>
  <si>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</si>
  <si>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</si>
  <si>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</si>
  <si>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</si>
  <si>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</si>
  <si>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</si>
  <si>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</si>
  <si>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</si>
  <si>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</si>
  <si>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</si>
  <si>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</si>
  <si>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</si>
  <si>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</si>
  <si>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</si>
  <si>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</si>
  <si>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</si>
  <si>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</si>
  <si>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</si>
  <si>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</si>
  <si>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</si>
  <si>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</si>
  <si>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</si>
  <si>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</si>
  <si>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</si>
  <si>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</si>
  <si>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</si>
  <si>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</si>
  <si>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</si>
  <si>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</si>
  <si>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</si>
  <si>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</si>
  <si>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</si>
  <si>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</si>
  <si>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</si>
  <si>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</si>
  <si>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</si>
  <si>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</si>
  <si>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</si>
  <si>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</si>
  <si>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</si>
  <si>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</si>
  <si>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</si>
  <si>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</si>
  <si>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</si>
  <si>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</si>
  <si>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</si>
  <si>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</si>
  <si>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</si>
  <si>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</si>
  <si>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</si>
  <si>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</si>
  <si>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</si>
  <si>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</si>
  <si>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</si>
  <si>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</si>
  <si>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</si>
  <si>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</si>
  <si>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</si>
  <si>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</si>
  <si>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</si>
  <si>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</si>
  <si>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</si>
  <si>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</si>
  <si>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</si>
  <si>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</si>
  <si>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</si>
  <si>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</si>
  <si>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</si>
  <si>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</si>
  <si>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</si>
  <si>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</si>
  <si>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</si>
  <si>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</si>
  <si>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</si>
  <si>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</si>
  <si>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</si>
  <si>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</si>
  <si>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</si>
  <si>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</si>
  <si>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</si>
  <si>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</si>
  <si>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</si>
  <si>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</si>
  <si>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</si>
  <si>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</si>
  <si>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</si>
  <si>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</si>
  <si>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</si>
  <si>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</si>
  <si>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</si>
  <si>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</si>
  <si>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</si>
  <si>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</si>
  <si>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</si>
  <si>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</si>
  <si>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</si>
  <si>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</si>
  <si>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</si>
  <si>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</si>
  <si>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</si>
  <si>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</si>
  <si>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</si>
  <si>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</si>
  <si>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</si>
  <si>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</si>
  <si>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</si>
  <si>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</si>
  <si>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</si>
  <si>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</si>
  <si>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</si>
  <si>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</si>
  <si>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</si>
  <si>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</si>
  <si>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</si>
  <si>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</si>
  <si>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</si>
  <si>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</si>
  <si>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</si>
  <si>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</si>
  <si>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</si>
  <si>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</si>
  <si>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</si>
  <si>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</si>
  <si>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</si>
  <si>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</si>
  <si>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</si>
  <si>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</si>
  <si>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</si>
  <si>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</si>
  <si>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</si>
  <si>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</si>
  <si>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</si>
  <si>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</si>
  <si>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</si>
  <si>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</si>
  <si>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</si>
  <si>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</si>
  <si>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</si>
  <si>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</si>
  <si>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</si>
  <si>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</si>
  <si>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</si>
  <si>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</si>
  <si>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</si>
  <si>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</si>
  <si>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</si>
  <si>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</si>
  <si>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</si>
  <si>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</si>
  <si>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</si>
  <si>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</si>
  <si>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</si>
  <si>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</si>
  <si>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</si>
  <si>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</si>
  <si>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</si>
  <si>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</si>
  <si>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</si>
  <si>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</si>
  <si>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</si>
  <si>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</si>
  <si>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</si>
  <si>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</si>
  <si>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</si>
  <si>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</si>
  <si>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</si>
  <si>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</si>
  <si>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</si>
  <si>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</si>
  <si>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</si>
  <si>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</si>
  <si>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</si>
  <si>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</si>
  <si>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</si>
  <si>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</si>
  <si>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</si>
  <si>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</si>
  <si>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</si>
  <si>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</si>
  <si>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</si>
  <si>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</si>
  <si>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</si>
  <si>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</si>
  <si>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</si>
  <si>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</si>
  <si>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</si>
  <si>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</si>
  <si>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</si>
  <si>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</si>
  <si>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</si>
  <si>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</si>
  <si>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</si>
  <si>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</si>
  <si>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</si>
  <si>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</si>
  <si>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</si>
  <si>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</si>
  <si>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</si>
  <si>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</si>
  <si>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</si>
  <si>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</si>
  <si>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</si>
  <si>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</si>
  <si>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</si>
  <si>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</si>
  <si>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</si>
  <si>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</si>
  <si>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</si>
  <si>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</si>
  <si>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</si>
  <si>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</si>
  <si>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</si>
  <si>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</si>
  <si>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</si>
  <si>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</si>
  <si>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</si>
  <si>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</si>
  <si>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</si>
  <si>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</si>
  <si>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</si>
  <si>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</si>
  <si>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</si>
  <si>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</si>
  <si>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</si>
  <si>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</si>
  <si>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</si>
  <si>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</si>
  <si>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</si>
  <si>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</si>
  <si>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</si>
  <si>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</si>
  <si>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</si>
  <si>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</si>
  <si>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</si>
  <si>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</si>
  <si>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</si>
  <si>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</si>
  <si>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</si>
  <si>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</si>
  <si>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</si>
  <si>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</si>
  <si>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</si>
  <si>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</si>
  <si>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</si>
  <si>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</si>
  <si>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</si>
  <si>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</si>
  <si>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</si>
  <si>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</si>
  <si>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</si>
  <si>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</si>
  <si>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</si>
  <si>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</si>
  <si>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</si>
  <si>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</si>
  <si>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</si>
  <si>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</si>
  <si>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</si>
  <si>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</si>
  <si>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</si>
  <si>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</si>
  <si>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</si>
  <si>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</si>
  <si>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</si>
  <si>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</si>
  <si>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</si>
  <si>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</si>
  <si>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</si>
  <si>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</si>
  <si>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</si>
  <si>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</si>
  <si>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</si>
  <si>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</si>
  <si>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</si>
  <si>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</si>
  <si>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</si>
  <si>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</si>
  <si>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</si>
  <si>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</si>
  <si>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</si>
  <si>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</si>
  <si>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</si>
  <si>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</si>
  <si>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</si>
  <si>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</si>
  <si>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</si>
  <si>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</si>
  <si>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</si>
  <si>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</si>
  <si>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</si>
  <si>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</si>
  <si>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</si>
  <si>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</si>
  <si>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</si>
  <si>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</si>
  <si>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</si>
  <si>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</si>
  <si>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</si>
  <si>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</si>
  <si>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</si>
  <si>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</si>
  <si>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</si>
  <si>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</si>
  <si>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</si>
  <si>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</si>
  <si>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</si>
  <si>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</si>
  <si>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</si>
  <si>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</si>
  <si>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</si>
  <si>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</si>
  <si>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</si>
  <si>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</si>
  <si>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</si>
  <si>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</si>
  <si>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</si>
  <si>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</si>
  <si>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</si>
  <si>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</si>
  <si>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</si>
  <si>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</si>
  <si>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</si>
  <si>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</si>
  <si>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</si>
  <si>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</si>
  <si>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</si>
  <si>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</si>
  <si>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</si>
  <si>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</si>
  <si>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</si>
  <si>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</si>
  <si>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</si>
  <si>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</si>
  <si>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</si>
  <si>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</si>
  <si>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</si>
  <si>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</si>
  <si>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</si>
  <si>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</si>
  <si>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</si>
  <si>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</si>
  <si>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</si>
  <si>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</si>
  <si>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</si>
  <si>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</si>
  <si>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</si>
  <si>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</si>
  <si>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</si>
  <si>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</si>
  <si>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</si>
  <si>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</si>
  <si>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</si>
  <si>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</si>
  <si>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</si>
  <si>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</si>
  <si>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</si>
  <si>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</si>
  <si>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</si>
  <si>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</si>
  <si>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</si>
  <si>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</si>
  <si>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</si>
  <si>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</si>
  <si>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</si>
  <si>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</si>
  <si>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</si>
  <si>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</si>
  <si>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</si>
  <si>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</si>
  <si>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</si>
  <si>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</si>
  <si>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</si>
  <si>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</si>
  <si>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</si>
  <si>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</si>
  <si>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</si>
  <si>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2023*</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</si>
  <si>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</si>
  <si>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</si>
  <si>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</si>
  <si>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</si>
  <si>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</si>
  <si>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</si>
  <si>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</si>
  <si>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</si>
  <si>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</si>
  <si>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</si>
  <si>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</si>
  <si>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</si>
  <si>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</si>
  <si>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</si>
  <si>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</si>
  <si>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</si>
  <si>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</si>
  <si>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</si>
  <si>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</si>
  <si>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</si>
  <si>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</si>
  <si>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</si>
  <si>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</si>
  <si>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</si>
  <si>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</si>
  <si>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</si>
  <si>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</si>
  <si>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</si>
  <si>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</si>
  <si>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</si>
  <si>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</si>
  <si>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</si>
  <si>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</si>
  <si>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</si>
  <si>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</si>
  <si>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</si>
  <si>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</si>
  <si>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</si>
  <si>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</si>
  <si>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</si>
  <si>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</si>
  <si>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</si>
  <si>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</si>
  <si>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</si>
  <si>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</si>
  <si>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</si>
  <si>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</si>
  <si>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</si>
  <si>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</si>
  <si>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</si>
  <si>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</si>
  <si>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</si>
  <si>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</si>
  <si>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</si>
  <si>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</si>
  <si>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</si>
  <si>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</si>
  <si>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</si>
  <si>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</si>
  <si>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</si>
  <si>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</si>
  <si>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</si>
  <si>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</si>
  <si>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</si>
  <si>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</si>
  <si>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</si>
  <si>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</si>
  <si>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</si>
  <si>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</si>
  <si>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</si>
  <si>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</si>
  <si>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</si>
  <si>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</si>
  <si>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</si>
  <si>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</si>
  <si>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</si>
  <si>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</si>
  <si>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</si>
  <si>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</si>
  <si>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</si>
  <si>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</si>
  <si>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</si>
  <si>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</si>
  <si>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</si>
  <si>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</si>
  <si>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</si>
  <si>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</si>
  <si>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</si>
  <si>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</si>
  <si>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</si>
  <si>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</si>
  <si>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</si>
  <si>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</si>
  <si>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</si>
  <si>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</si>
  <si>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</si>
  <si>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</si>
  <si>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</si>
  <si>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</si>
  <si>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</si>
  <si>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</si>
  <si>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</si>
  <si>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</si>
  <si>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</si>
  <si>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</si>
  <si>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</si>
  <si>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</si>
  <si>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</si>
  <si>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</si>
  <si>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</si>
  <si>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</si>
  <si>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</si>
  <si>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</si>
  <si>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</si>
  <si>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</si>
  <si>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</si>
  <si>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</si>
  <si>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</si>
  <si>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</si>
  <si>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</si>
  <si>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</si>
  <si>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</si>
  <si>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</si>
  <si>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</si>
  <si>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</si>
  <si>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</si>
  <si>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</si>
  <si>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</si>
  <si>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</si>
  <si>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</si>
  <si>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</si>
  <si>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</si>
  <si>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</si>
  <si>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</si>
  <si>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</si>
  <si>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</si>
  <si>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</si>
  <si>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</si>
  <si>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</si>
  <si>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</si>
  <si>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</si>
  <si>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</si>
  <si>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</si>
  <si>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</si>
  <si>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</si>
  <si>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</si>
  <si>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</si>
  <si>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</si>
  <si>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</si>
  <si>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</si>
  <si>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</si>
  <si>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</si>
  <si>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</si>
  <si>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</si>
  <si>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</si>
  <si>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</si>
  <si>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</si>
  <si>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</si>
  <si>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</si>
  <si>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</si>
  <si>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</si>
  <si>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</si>
  <si>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</si>
  <si>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</si>
  <si>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</si>
  <si>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</si>
  <si>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</si>
  <si>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</si>
  <si>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</si>
  <si>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</si>
  <si>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</si>
  <si>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</si>
  <si>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</si>
  <si>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</si>
  <si>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</si>
  <si>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</si>
  <si>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</si>
  <si>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</si>
  <si>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</si>
  <si>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</si>
  <si>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</si>
  <si>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</si>
  <si>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</si>
  <si>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</si>
  <si>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</si>
  <si>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</si>
  <si>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</si>
  <si>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</si>
  <si>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</si>
  <si>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</si>
  <si>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</si>
  <si>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</si>
  <si>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</si>
  <si>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</si>
  <si>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</si>
  <si>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</si>
  <si>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</si>
  <si>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</si>
  <si>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</si>
  <si>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</si>
  <si>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</si>
  <si>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</si>
  <si>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</si>
  <si>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</si>
  <si>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</si>
  <si>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</si>
  <si>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</si>
  <si>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</si>
  <si>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</si>
  <si>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</si>
  <si>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</si>
  <si>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</si>
  <si>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</si>
  <si>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</si>
  <si>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</si>
  <si>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</si>
  <si>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</si>
  <si>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</si>
  <si>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</si>
  <si>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</si>
  <si>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</si>
  <si>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</si>
  <si>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</si>
  <si>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</si>
  <si>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</si>
  <si>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</si>
  <si>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</si>
  <si>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</si>
  <si>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</si>
  <si>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</si>
  <si>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</si>
  <si>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</si>
  <si>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</si>
  <si>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</si>
  <si>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</si>
  <si>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</si>
  <si>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</si>
  <si>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</si>
  <si>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</si>
  <si>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</si>
  <si>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</si>
  <si>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</si>
  <si>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</si>
  <si>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</si>
  <si>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</si>
  <si>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</si>
  <si>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</si>
  <si>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</si>
  <si>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</si>
  <si>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</si>
  <si>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</si>
  <si>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</si>
  <si>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</si>
  <si>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</si>
  <si>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</si>
  <si>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</si>
  <si>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</si>
  <si>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</si>
  <si>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2022  Q4</t>
  </si>
  <si>
    <t xml:space="preserve">  2023  Q1</t>
  </si>
  <si>
    <t xml:space="preserve">  2023  Q2</t>
  </si>
  <si>
    <t xml:space="preserve">  2023  Q3</t>
  </si>
  <si>
    <t xml:space="preserve">  2023  Q4</t>
  </si>
  <si>
    <t>07.02.2024</t>
  </si>
  <si>
    <t>21.02.2024</t>
  </si>
  <si>
    <t>22.02.2024</t>
  </si>
  <si>
    <t>25.02.2024</t>
  </si>
  <si>
    <t>28.02.2024</t>
  </si>
  <si>
    <t>الين الياباني</t>
  </si>
  <si>
    <t>06.03.2024</t>
  </si>
  <si>
    <t>20.03.2024</t>
  </si>
  <si>
    <t>21.03.2024</t>
  </si>
  <si>
    <t>24.03.2024</t>
  </si>
  <si>
    <t>27.03.2024</t>
  </si>
  <si>
    <t>17.04.2024</t>
  </si>
  <si>
    <t>18.04.2024</t>
  </si>
  <si>
    <t>24.04.2024</t>
  </si>
  <si>
    <t>03.04.2024</t>
  </si>
  <si>
    <t xml:space="preserve">  2024  Q1</t>
  </si>
  <si>
    <t>2024*</t>
  </si>
  <si>
    <t>01.05.2024</t>
  </si>
  <si>
    <t>05.05.2024</t>
  </si>
  <si>
    <t>08.05.2024</t>
  </si>
  <si>
    <t>22.05.2024</t>
  </si>
  <si>
    <t>23.05.2024</t>
  </si>
  <si>
    <t>26.05.2024</t>
  </si>
  <si>
    <t>29.05.2024</t>
  </si>
  <si>
    <t>June</t>
  </si>
  <si>
    <t>19.06.2024</t>
  </si>
  <si>
    <t>20.06.2024</t>
  </si>
  <si>
    <t>23.06.2024</t>
  </si>
  <si>
    <t>26.06.2024</t>
  </si>
  <si>
    <t>05.06.2024</t>
  </si>
  <si>
    <t>July</t>
  </si>
  <si>
    <t>03.07.2024</t>
  </si>
  <si>
    <t>17.07.2024</t>
  </si>
  <si>
    <t>18.07.2024</t>
  </si>
  <si>
    <t>24.07.2024</t>
  </si>
  <si>
    <t>28.07.2024</t>
  </si>
  <si>
    <t>31.07.2024</t>
  </si>
  <si>
    <t xml:space="preserve">  2024  Q2</t>
  </si>
  <si>
    <t>August</t>
  </si>
  <si>
    <t>07.08.2024</t>
  </si>
  <si>
    <t>21.08.2024</t>
  </si>
  <si>
    <t>22.08.2024</t>
  </si>
  <si>
    <t>25.08.2024</t>
  </si>
  <si>
    <t>28.08.2024</t>
  </si>
  <si>
    <t>September</t>
  </si>
  <si>
    <t>04.09.2024</t>
  </si>
  <si>
    <t>18.09.2024</t>
  </si>
  <si>
    <t>19.09.2024</t>
  </si>
  <si>
    <t>22.09.2024</t>
  </si>
  <si>
    <t>25.09.2024</t>
  </si>
  <si>
    <t>October</t>
  </si>
  <si>
    <t>02.10.2024</t>
  </si>
  <si>
    <t>16.10.2024</t>
  </si>
  <si>
    <t>17.10.2024</t>
  </si>
  <si>
    <t>23.10.2024</t>
  </si>
  <si>
    <t>30.10.2024</t>
  </si>
  <si>
    <t>Q3*</t>
  </si>
  <si>
    <t>November</t>
  </si>
  <si>
    <t xml:space="preserve">  2024  Q3</t>
  </si>
  <si>
    <t>03.11.2024</t>
  </si>
  <si>
    <t>06.11.2024</t>
  </si>
  <si>
    <t>20.11.2024</t>
  </si>
  <si>
    <t>21.11.2024</t>
  </si>
  <si>
    <t>24.11.2024</t>
  </si>
  <si>
    <t>27.11.2024</t>
  </si>
  <si>
    <t>December</t>
  </si>
  <si>
    <t>Classification of Restricted &amp; Unrestricted account for Islamic Banks (Consolidated) December 2024</t>
  </si>
  <si>
    <t>الحسابات المقيدة وغير المقيدة للمصارف الإسلامية (مجمعة) ديسمبر 2024</t>
  </si>
  <si>
    <t>04.12.2024</t>
  </si>
  <si>
    <t>18.12.2024</t>
  </si>
  <si>
    <t>19.12.2024</t>
  </si>
  <si>
    <t>22.12.2024</t>
  </si>
  <si>
    <t>25.12.2024</t>
  </si>
  <si>
    <t xml:space="preserve">  2024  Q4</t>
  </si>
  <si>
    <t xml:space="preserve">Supporting Institutions </t>
  </si>
  <si>
    <t>المؤسسات الداعمة</t>
  </si>
  <si>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</si>
  <si>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</si>
  <si>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</si>
  <si>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</si>
  <si>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</si>
  <si>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</si>
  <si>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</si>
  <si>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</si>
  <si>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</si>
  <si>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</si>
  <si>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</si>
  <si>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</si>
  <si>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</si>
  <si>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</si>
  <si>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</si>
  <si>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</si>
  <si>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</si>
  <si>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</si>
  <si>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</si>
  <si>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</si>
  <si>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</si>
  <si>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</si>
  <si>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</si>
  <si>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</si>
  <si>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</si>
  <si>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</si>
  <si>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</si>
  <si>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</si>
  <si>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</si>
  <si>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</si>
  <si>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</si>
  <si>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</si>
  <si>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</si>
  <si>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</si>
  <si>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</si>
  <si>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</si>
  <si>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</si>
  <si>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</si>
  <si>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</si>
  <si>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</si>
  <si>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</si>
  <si>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</si>
  <si>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</si>
  <si>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</si>
  <si>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</si>
  <si>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</si>
  <si>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</si>
  <si>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</si>
  <si>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</si>
  <si>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</si>
  <si>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ديسمبر 2024</t>
    </r>
    <r>
      <rPr>
        <b/>
        <sz val="14"/>
        <rFont val="Arial (Arabic)"/>
        <family val="2"/>
        <charset val="178"/>
      </rPr>
      <t xml:space="preserve"> - 1/</t>
    </r>
  </si>
  <si>
    <r>
      <t>Islamic Retail Banks - Rates of Profit on Personal and Business Loans by Banks -</t>
    </r>
    <r>
      <rPr>
        <b/>
        <sz val="14"/>
        <rFont val="Arial"/>
        <family val="2"/>
      </rPr>
      <t xml:space="preserve"> December 2024</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</si>
  <si>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</si>
  <si>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</si>
  <si>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ديسمبر 2024</t>
    </r>
    <r>
      <rPr>
        <b/>
        <sz val="14"/>
        <rFont val="Arial (Arabic)"/>
        <family val="2"/>
        <charset val="178"/>
      </rPr>
      <t xml:space="preserve"> - 1/</t>
    </r>
  </si>
  <si>
    <r>
      <t>Conventional Retail Banks - Interest Rates on Personal and Business Loans by Banks -</t>
    </r>
    <r>
      <rPr>
        <b/>
        <sz val="14"/>
        <rFont val="Arial"/>
        <family val="2"/>
      </rPr>
      <t xml:space="preserve"> December 2024</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</si>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</sst>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s>
  <fonts count="84">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6"/>
      <name val="Arial"/>
      <family val="2"/>
    </font>
    <font>
      <b/>
      <sz val="11"/>
      <name val="Simple Bold Jut Out"/>
      <charset val="178"/>
    </font>
    <font>
      <b/>
      <sz val="11"/>
      <name val="Mudir MT"/>
      <charset val="178"/>
    </font>
    <font>
      <sz val="1"/>
      <name val="Arial"/>
      <family val="2"/>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cellStyleXfs>
  <cellXfs count="2135">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66" fontId="31" fillId="0" borderId="0" xfId="26" applyFont="1" applyFill="1" applyAlignment="1" applyProtection="1">
      <alignment horizontal="left"/>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4" fontId="18" fillId="0" borderId="9" xfId="0" applyNumberFormat="1" applyFont="1" applyFill="1" applyBorder="1" applyAlignment="1">
      <alignment horizontal="right" indent="2"/>
      <protection locked="0" hidden="1"/>
    </xf>
    <xf numFmtId="3" fontId="18" fillId="0" borderId="9" xfId="0" applyNumberFormat="1" applyFont="1" applyFill="1" applyBorder="1" applyAlignment="1">
      <alignment horizontal="right" indent="3"/>
      <protection locked="0" hidden="1"/>
    </xf>
    <xf numFmtId="225" fontId="28" fillId="0" borderId="9" xfId="2" applyNumberFormat="1" applyFont="1" applyFill="1" applyBorder="1" applyAlignment="1" applyProtection="1"/>
    <xf numFmtId="177" fontId="18" fillId="0" borderId="9" xfId="0" applyNumberFormat="1" applyFont="1" applyFill="1" applyBorder="1" applyAlignment="1">
      <alignment horizontal="right"/>
      <protection locked="0" hidden="1"/>
    </xf>
    <xf numFmtId="165" fontId="6" fillId="0" borderId="9" xfId="0" applyNumberFormat="1" applyFont="1" applyFill="1" applyBorder="1" applyAlignment="1">
      <alignment horizontal="right" indent="1" readingOrder="1"/>
      <protection locked="0" hidden="1"/>
    </xf>
    <xf numFmtId="194" fontId="22" fillId="0" borderId="9" xfId="0" applyNumberFormat="1" applyFont="1" applyFill="1" applyBorder="1" applyAlignment="1">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225" fontId="28" fillId="0" borderId="1" xfId="2" applyNumberFormat="1" applyFont="1" applyFill="1" applyBorder="1" applyAlignment="1" applyProtection="1"/>
    <xf numFmtId="4" fontId="18" fillId="0" borderId="1" xfId="0" applyNumberFormat="1" applyFont="1" applyFill="1" applyBorder="1" applyAlignment="1">
      <alignment horizontal="right" indent="2"/>
      <protection locked="0" hidden="1"/>
    </xf>
    <xf numFmtId="166" fontId="18" fillId="0" borderId="1" xfId="0" applyFont="1" applyFill="1" applyBorder="1" applyAlignment="1">
      <alignment horizontal="right" indent="3"/>
      <protection locked="0" hidden="1"/>
    </xf>
    <xf numFmtId="194" fontId="22" fillId="0" borderId="1" xfId="0" applyNumberFormat="1" applyFont="1" applyFill="1" applyBorder="1" applyAlignment="1">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11" xfId="2" applyNumberFormat="1" applyFont="1" applyFill="1" applyBorder="1" applyAlignment="1" applyProtection="1">
      <alignment vertical="center"/>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166" fontId="8" fillId="0" borderId="0" xfId="0" applyFont="1" applyFill="1" applyAlignment="1">
      <alignment horizontal="center" vertical="center" textRotation="90"/>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16" fillId="8" borderId="23" xfId="28" applyFont="1" applyFill="1" applyBorder="1" applyAlignment="1">
      <alignment horizontal="left" vertical="top" wrapText="1"/>
    </xf>
    <xf numFmtId="0" fontId="16" fillId="5" borderId="23" xfId="28" applyFont="1" applyFill="1" applyBorder="1" applyAlignment="1">
      <alignment horizontal="left" vertical="center" wrapText="1"/>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0" fontId="8" fillId="0" borderId="0" xfId="22" applyFont="1" applyAlignment="1">
      <alignment horizontal="center" vertical="center" textRotation="90"/>
    </xf>
    <xf numFmtId="0" fontId="12" fillId="0" borderId="11" xfId="0" applyNumberFormat="1" applyFont="1" applyFill="1" applyBorder="1" applyAlignment="1" applyProtection="1">
      <alignment horizontal="center"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6" fillId="0" borderId="0" xfId="0" applyFont="1" applyFill="1" applyAlignment="1">
      <alignment horizontal="left"/>
      <protection locked="0" hidden="1"/>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29" fillId="0" borderId="2"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4" fontId="5" fillId="0" borderId="11" xfId="0" applyNumberFormat="1" applyFont="1" applyFill="1" applyBorder="1" applyAlignment="1">
      <alignment horizontal="right"/>
      <protection locked="0" hidden="1"/>
    </xf>
    <xf numFmtId="165" fontId="5" fillId="0" borderId="26" xfId="1" applyNumberFormat="1" applyFont="1" applyBorder="1" applyAlignment="1">
      <alignment horizontal="right" indent="2"/>
    </xf>
    <xf numFmtId="3" fontId="5" fillId="0" borderId="11" xfId="0" applyNumberFormat="1" applyFont="1" applyFill="1" applyBorder="1" applyAlignment="1">
      <alignment horizontal="right" indent="3"/>
      <protection locked="0" hidden="1"/>
    </xf>
    <xf numFmtId="4" fontId="5" fillId="0" borderId="8" xfId="0" applyNumberFormat="1" applyFont="1" applyFill="1" applyBorder="1" applyAlignment="1">
      <alignment horizontal="right" indent="2"/>
      <protection locked="0" hidden="1"/>
    </xf>
    <xf numFmtId="3" fontId="5" fillId="0" borderId="8" xfId="0" applyNumberFormat="1" applyFont="1" applyFill="1" applyBorder="1" applyAlignment="1">
      <alignment horizontal="right" indent="3"/>
      <protection locked="0" hidden="1"/>
    </xf>
    <xf numFmtId="168" fontId="5" fillId="0" borderId="8" xfId="0" applyNumberFormat="1" applyFont="1" applyFill="1" applyBorder="1" applyAlignment="1">
      <protection locked="0" hidden="1"/>
    </xf>
    <xf numFmtId="212" fontId="5" fillId="0" borderId="9" xfId="0" applyNumberFormat="1" applyFont="1" applyFill="1" applyBorder="1" applyAlignment="1" applyProtection="1">
      <alignment horizontal="right"/>
    </xf>
    <xf numFmtId="0" fontId="46" fillId="0" borderId="23" xfId="29" applyFont="1" applyBorder="1" applyAlignment="1">
      <alignment horizontal="right" wrapText="1"/>
    </xf>
    <xf numFmtId="3" fontId="5" fillId="0" borderId="11" xfId="0" applyNumberFormat="1" applyFont="1" applyFill="1" applyBorder="1" applyAlignment="1">
      <alignment horizontal="center"/>
      <protection locked="0" hidden="1"/>
    </xf>
    <xf numFmtId="225" fontId="5" fillId="0" borderId="8" xfId="2" applyNumberFormat="1" applyFont="1" applyFill="1" applyBorder="1" applyAlignment="1" applyProtection="1"/>
    <xf numFmtId="225" fontId="5" fillId="0" borderId="11" xfId="2" applyNumberFormat="1" applyFont="1" applyFill="1" applyBorder="1" applyAlignment="1" applyProtection="1"/>
    <xf numFmtId="225" fontId="5" fillId="0" borderId="8" xfId="2" applyNumberFormat="1" applyFont="1" applyBorder="1"/>
    <xf numFmtId="189" fontId="5" fillId="0" borderId="11" xfId="0" applyNumberFormat="1" applyFont="1" applyFill="1" applyBorder="1" applyAlignment="1">
      <alignment horizontal="right"/>
      <protection locked="0" hidden="1"/>
    </xf>
    <xf numFmtId="165" fontId="5" fillId="0" borderId="11" xfId="0" applyNumberFormat="1" applyFont="1" applyFill="1" applyBorder="1" applyAlignment="1" applyProtection="1">
      <alignment horizontal="right" vertical="top" indent="1"/>
    </xf>
    <xf numFmtId="164" fontId="5" fillId="0" borderId="11" xfId="27" applyNumberFormat="1" applyFont="1" applyBorder="1" applyAlignment="1" applyProtection="1">
      <alignment horizontal="right" indent="3"/>
      <protection locked="0" hidden="1"/>
    </xf>
    <xf numFmtId="165" fontId="5" fillId="0" borderId="8" xfId="0" applyNumberFormat="1" applyFont="1" applyFill="1" applyBorder="1" applyAlignment="1">
      <alignment horizontal="right"/>
      <protection locked="0" hidden="1"/>
    </xf>
    <xf numFmtId="165" fontId="5" fillId="0" borderId="4" xfId="0" applyNumberFormat="1" applyFont="1" applyFill="1" applyBorder="1" applyAlignment="1">
      <alignment horizontal="right"/>
      <protection locked="0" hidden="1"/>
    </xf>
    <xf numFmtId="165" fontId="5" fillId="0" borderId="8" xfId="0" applyNumberFormat="1" applyFont="1" applyFill="1" applyBorder="1" applyAlignment="1">
      <alignment horizontal="right" indent="1"/>
      <protection locked="0" hidden="1"/>
    </xf>
    <xf numFmtId="172" fontId="5" fillId="0" borderId="8" xfId="0" applyNumberFormat="1" applyFont="1" applyFill="1" applyBorder="1" applyAlignment="1">
      <protection locked="0" hidden="1"/>
    </xf>
    <xf numFmtId="187" fontId="5" fillId="0" borderId="4" xfId="0" applyNumberFormat="1" applyFont="1" applyFill="1" applyBorder="1" applyAlignment="1">
      <alignment horizontal="right" vertical="top"/>
      <protection locked="0" hidden="1"/>
    </xf>
    <xf numFmtId="219" fontId="5" fillId="0" borderId="4" xfId="0" applyNumberFormat="1" applyFont="1" applyFill="1" applyBorder="1" applyAlignment="1">
      <protection locked="0" hidden="1"/>
    </xf>
    <xf numFmtId="164" fontId="5" fillId="0" borderId="8" xfId="0" applyNumberFormat="1" applyFont="1" applyFill="1" applyBorder="1" applyAlignment="1">
      <alignment horizontal="center"/>
      <protection locked="0" hidden="1"/>
    </xf>
    <xf numFmtId="165" fontId="5" fillId="0" borderId="11" xfId="0" applyNumberFormat="1" applyFont="1" applyFill="1" applyBorder="1" applyAlignment="1">
      <alignment horizontal="center" vertical="top"/>
      <protection locked="0" hidden="1"/>
    </xf>
    <xf numFmtId="212" fontId="5" fillId="0" borderId="43" xfId="2" applyNumberFormat="1" applyFont="1" applyFill="1" applyBorder="1" applyAlignment="1" applyProtection="1">
      <alignment vertical="center"/>
    </xf>
    <xf numFmtId="177" fontId="5" fillId="0" borderId="8" xfId="0" applyNumberFormat="1" applyFont="1" applyFill="1" applyBorder="1" applyAlignment="1">
      <alignment horizontal="right"/>
      <protection locked="0" hidden="1"/>
    </xf>
    <xf numFmtId="167" fontId="5" fillId="0" borderId="8" xfId="0" applyNumberFormat="1" applyFont="1" applyFill="1" applyBorder="1" applyAlignment="1">
      <alignment horizontal="right"/>
      <protection locked="0" hidden="1"/>
    </xf>
    <xf numFmtId="188" fontId="5" fillId="0" borderId="8" xfId="0" applyNumberFormat="1" applyFont="1" applyFill="1" applyBorder="1" applyAlignment="1">
      <alignment horizontal="right"/>
      <protection locked="0" hidden="1"/>
    </xf>
    <xf numFmtId="187" fontId="5" fillId="0" borderId="8" xfId="0" applyNumberFormat="1" applyFont="1" applyFill="1" applyBorder="1" applyAlignment="1">
      <protection locked="0" hidden="1"/>
    </xf>
    <xf numFmtId="167" fontId="5" fillId="0" borderId="8" xfId="0" applyNumberFormat="1" applyFont="1" applyFill="1" applyBorder="1" applyAlignment="1">
      <protection locked="0" hidden="1"/>
    </xf>
    <xf numFmtId="169" fontId="5" fillId="0" borderId="8" xfId="0" applyNumberFormat="1" applyFont="1" applyFill="1" applyBorder="1" applyAlignment="1">
      <alignment horizontal="right"/>
      <protection locked="0" hidden="1"/>
    </xf>
    <xf numFmtId="165" fontId="5" fillId="0" borderId="8" xfId="0" applyNumberFormat="1" applyFont="1" applyFill="1" applyBorder="1" applyAlignment="1">
      <alignment horizontal="right" indent="1" readingOrder="1"/>
      <protection locked="0" hidden="1"/>
    </xf>
    <xf numFmtId="2" fontId="5" fillId="0" borderId="11" xfId="22" applyNumberFormat="1" applyFont="1" applyBorder="1" applyAlignment="1">
      <alignment horizontal="center"/>
    </xf>
    <xf numFmtId="211" fontId="5" fillId="0" borderId="0" xfId="0" applyNumberFormat="1" applyFont="1" applyFill="1" applyAlignment="1">
      <protection locked="0" hidden="1"/>
    </xf>
    <xf numFmtId="2" fontId="5" fillId="0" borderId="8" xfId="18" applyNumberFormat="1" applyFont="1" applyFill="1" applyBorder="1" applyAlignment="1">
      <alignment horizontal="center"/>
      <protection locked="0" hidden="1"/>
    </xf>
    <xf numFmtId="2" fontId="5" fillId="0" borderId="11" xfId="0" applyNumberFormat="1" applyFont="1" applyFill="1" applyBorder="1" applyAlignment="1">
      <alignment horizontal="right" indent="1"/>
      <protection locked="0" hidden="1"/>
    </xf>
    <xf numFmtId="218" fontId="5" fillId="0" borderId="8" xfId="0" applyNumberFormat="1" applyFont="1" applyFill="1" applyBorder="1" applyAlignment="1">
      <alignment horizontal="right" indent="2"/>
      <protection locked="0" hidden="1"/>
    </xf>
    <xf numFmtId="197" fontId="5" fillId="0" borderId="10" xfId="0" applyNumberFormat="1" applyFont="1" applyFill="1" applyBorder="1" applyAlignment="1">
      <protection locked="0" hidden="1"/>
    </xf>
    <xf numFmtId="182" fontId="5" fillId="0" borderId="8" xfId="0" applyNumberFormat="1" applyFont="1" applyFill="1" applyBorder="1" applyAlignment="1">
      <protection locked="0" hidden="1"/>
    </xf>
    <xf numFmtId="194" fontId="5" fillId="0" borderId="8" xfId="0" applyNumberFormat="1" applyFont="1" applyFill="1" applyBorder="1" applyAlignment="1">
      <protection locked="0" hidden="1"/>
    </xf>
    <xf numFmtId="175" fontId="5" fillId="0" borderId="8" xfId="0" applyNumberFormat="1" applyFont="1" applyFill="1" applyBorder="1" applyAlignment="1">
      <protection locked="0" hidden="1"/>
    </xf>
    <xf numFmtId="0" fontId="46" fillId="9" borderId="23" xfId="28" applyFont="1" applyFill="1" applyBorder="1" applyAlignment="1">
      <alignment horizontal="center" vertical="center"/>
    </xf>
    <xf numFmtId="166" fontId="5" fillId="0" borderId="36" xfId="0" applyFont="1" applyFill="1" applyBorder="1" applyAlignment="1">
      <protection locked="0" hidden="1"/>
    </xf>
    <xf numFmtId="0" fontId="53"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29" fillId="0" borderId="12" xfId="21" applyFont="1" applyBorder="1" applyAlignment="1">
      <alignment horizontal="center" vertical="center"/>
    </xf>
    <xf numFmtId="0" fontId="46" fillId="0" borderId="6" xfId="21" applyFont="1" applyBorder="1" applyAlignment="1">
      <alignment horizontal="centerContinuous" vertical="center"/>
    </xf>
    <xf numFmtId="0" fontId="41"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12" xfId="21" applyFont="1" applyBorder="1" applyAlignment="1">
      <alignment horizontal="center" vertical="top"/>
    </xf>
    <xf numFmtId="0" fontId="41" fillId="0" borderId="11" xfId="21" applyFont="1" applyBorder="1" applyAlignment="1">
      <alignment horizontal="center" vertical="center"/>
    </xf>
    <xf numFmtId="0" fontId="5" fillId="0" borderId="0" xfId="21" applyFont="1" applyAlignment="1">
      <alignment vertical="top"/>
    </xf>
    <xf numFmtId="0" fontId="29" fillId="0" borderId="11" xfId="21" applyFont="1" applyBorder="1" applyAlignment="1">
      <alignment horizontal="center" vertical="top"/>
    </xf>
    <xf numFmtId="0" fontId="29" fillId="0" borderId="8" xfId="21" applyFont="1" applyBorder="1" applyAlignment="1">
      <alignment horizontal="center" vertical="center"/>
    </xf>
    <xf numFmtId="0" fontId="46" fillId="0" borderId="8" xfId="21" applyFont="1" applyBorder="1" applyAlignment="1">
      <alignment horizontal="center"/>
    </xf>
    <xf numFmtId="0" fontId="41" fillId="0" borderId="8" xfId="21" applyFont="1" applyBorder="1" applyAlignment="1">
      <alignment horizontal="center" vertic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56" fillId="0" borderId="0" xfId="0" applyFont="1" applyFill="1" applyAlignment="1">
      <protection locked="0" hidden="1"/>
    </xf>
    <xf numFmtId="166" fontId="56"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166" fontId="57"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7" fillId="0" borderId="0" xfId="22" applyFont="1" applyAlignment="1">
      <alignment horizontal="centerContinuous"/>
    </xf>
    <xf numFmtId="0" fontId="57" fillId="0" borderId="0" xfId="22" applyFont="1" applyAlignment="1">
      <alignment horizontal="centerContinuous" vertical="top"/>
    </xf>
    <xf numFmtId="4" fontId="5" fillId="0" borderId="0" xfId="22" applyNumberFormat="1" applyFont="1"/>
    <xf numFmtId="164" fontId="5" fillId="0" borderId="1" xfId="22" applyNumberFormat="1" applyFont="1" applyBorder="1"/>
    <xf numFmtId="3" fontId="5" fillId="0" borderId="1" xfId="22" applyNumberFormat="1" applyFont="1" applyBorder="1" applyAlignment="1">
      <alignment horizontal="right" indent="2" readingOrder="1"/>
    </xf>
    <xf numFmtId="3" fontId="5" fillId="0" borderId="9" xfId="22" applyNumberFormat="1" applyFont="1" applyBorder="1" applyAlignment="1">
      <alignment horizontal="right" indent="2" readingOrder="1"/>
    </xf>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9"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 fillId="0" borderId="7" xfId="0" applyNumberFormat="1" applyFont="1" applyFill="1" applyBorder="1" applyAlignment="1" applyProtection="1">
      <alignment vertical="top"/>
    </xf>
    <xf numFmtId="165" fontId="5" fillId="0" borderId="0" xfId="0" applyNumberFormat="1" applyFont="1" applyFill="1" applyAlignment="1" applyProtection="1">
      <alignment horizontal="right"/>
    </xf>
    <xf numFmtId="165" fontId="5" fillId="0" borderId="0" xfId="0" applyNumberFormat="1" applyFon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60"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5" fillId="2" borderId="8" xfId="0" applyFont="1" applyBorder="1" applyAlignment="1" applyProtection="1">
      <alignment horizontal="center" vertical="center"/>
    </xf>
    <xf numFmtId="166" fontId="31" fillId="0" borderId="12" xfId="0" applyFont="1" applyFill="1" applyBorder="1" applyAlignment="1">
      <alignment horizontal="left" wrapText="1" indent="1"/>
      <protection locked="0" hidden="1"/>
    </xf>
    <xf numFmtId="0" fontId="57"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3" fontId="21" fillId="0" borderId="12"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66" fontId="14" fillId="0" borderId="12" xfId="0" applyFont="1" applyFill="1" applyBorder="1" applyAlignment="1">
      <alignment horizontal="center" vertical="center" readingOrder="2"/>
      <protection locked="0" hidden="1"/>
    </xf>
    <xf numFmtId="3" fontId="21" fillId="0" borderId="11" xfId="0" applyNumberFormat="1" applyFont="1" applyFill="1" applyBorder="1" applyAlignment="1">
      <alignment horizontal="center" vertical="center" wrapText="1"/>
      <protection locked="0" hidden="1"/>
    </xf>
    <xf numFmtId="1" fontId="9" fillId="0" borderId="11"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12" xfId="0" applyNumberFormat="1" applyFont="1" applyFill="1" applyBorder="1" applyAlignment="1">
      <alignment horizontal="center" vertical="center"/>
      <protection locked="0" hidden="1"/>
    </xf>
    <xf numFmtId="166" fontId="14" fillId="0" borderId="11" xfId="0" applyFont="1" applyFill="1" applyBorder="1" applyAlignment="1">
      <alignment horizontal="center" vertical="center" readingOrder="2"/>
      <protection locked="0" hidden="1"/>
    </xf>
    <xf numFmtId="3" fontId="21" fillId="0" borderId="8" xfId="0" applyNumberFormat="1" applyFont="1" applyFill="1" applyBorder="1" applyAlignment="1">
      <alignment horizontal="center" vertical="center" wrapText="1"/>
      <protection locked="0" hidden="1"/>
    </xf>
    <xf numFmtId="1" fontId="9" fillId="0" borderId="8" xfId="0" applyNumberFormat="1" applyFont="1" applyFill="1" applyBorder="1" applyAlignment="1">
      <alignment horizontal="center" vertical="center"/>
      <protection locked="0" hidden="1"/>
    </xf>
    <xf numFmtId="166" fontId="14" fillId="0" borderId="8" xfId="0" applyFont="1" applyFill="1" applyBorder="1" applyAlignment="1">
      <alignment horizontal="center" vertical="center" readingOrder="2"/>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7"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61" fillId="0" borderId="0" xfId="29" applyFont="1"/>
    <xf numFmtId="0" fontId="29" fillId="0" borderId="23" xfId="29" applyFont="1" applyBorder="1" applyAlignment="1">
      <alignment horizontal="center"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31" fillId="0" borderId="23" xfId="29" applyFont="1" applyBorder="1" applyAlignment="1">
      <alignment horizontal="right" wrapText="1"/>
    </xf>
    <xf numFmtId="226" fontId="5" fillId="0" borderId="0" xfId="30" applyNumberFormat="1" applyFont="1"/>
    <xf numFmtId="0" fontId="22" fillId="0" borderId="23" xfId="29" applyFont="1" applyBorder="1" applyAlignment="1">
      <alignment horizontal="right" wrapText="1"/>
    </xf>
    <xf numFmtId="0" fontId="5" fillId="0" borderId="7" xfId="29" applyFont="1" applyBorder="1" applyAlignment="1">
      <alignment horizontal="left" wrapText="1"/>
    </xf>
    <xf numFmtId="0" fontId="5" fillId="0" borderId="7" xfId="29" applyFont="1" applyBorder="1" applyAlignment="1">
      <alignment horizontal="right" wrapText="1" readingOrder="2"/>
    </xf>
    <xf numFmtId="0" fontId="5" fillId="0" borderId="0" xfId="29" applyFont="1" applyAlignment="1">
      <alignment horizontal="left" vertical="center" wrapText="1"/>
    </xf>
    <xf numFmtId="0" fontId="5" fillId="0" borderId="0" xfId="29" applyFont="1" applyAlignment="1">
      <alignment horizontal="right" vertical="center" wrapText="1" readingOrder="2"/>
    </xf>
    <xf numFmtId="0" fontId="5" fillId="0" borderId="0" xfId="29" applyFont="1" applyAlignment="1">
      <alignment horizontal="left" vertical="center"/>
    </xf>
    <xf numFmtId="0" fontId="5" fillId="0" borderId="0" xfId="29" applyFont="1" applyAlignment="1">
      <alignment horizontal="right" vertical="center" readingOrder="2"/>
    </xf>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ont="1" applyFill="1" applyBorder="1" applyAlignment="1" applyProtection="1">
      <alignment vertical="center"/>
    </xf>
    <xf numFmtId="166" fontId="5" fillId="0" borderId="0" xfId="26" applyFont="1" applyFill="1" applyAlignment="1" applyProtection="1">
      <alignment vertical="center"/>
    </xf>
    <xf numFmtId="49" fontId="5" fillId="0" borderId="0" xfId="26" applyNumberFormat="1" applyFont="1" applyFill="1" applyAlignment="1" applyProtection="1">
      <alignment horizont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 vertical="center" wrapText="1"/>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3"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3" fillId="0" borderId="11" xfId="2" applyNumberFormat="1" applyFont="1" applyFill="1" applyBorder="1" applyAlignment="1" applyProtection="1"/>
    <xf numFmtId="225" fontId="63"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ont="1" applyFill="1" applyAlignment="1" applyProtection="1"/>
    <xf numFmtId="166" fontId="60" fillId="0" borderId="0" xfId="26" applyFont="1" applyFill="1" applyAlignment="1" applyProtection="1">
      <alignment horizontal="right"/>
    </xf>
    <xf numFmtId="49" fontId="5" fillId="0" borderId="0" xfId="26" applyNumberFormat="1" applyFon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31" fillId="0" borderId="1" xfId="26" applyFont="1" applyFill="1" applyBorder="1" applyAlignment="1" applyProtection="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166" fontId="64" fillId="0" borderId="7" xfId="26" applyFont="1" applyFill="1" applyBorder="1" applyAlignment="1" applyProtection="1">
      <alignment vertical="center"/>
    </xf>
    <xf numFmtId="166" fontId="64" fillId="0" borderId="0" xfId="26" applyFont="1" applyFill="1" applyAlignment="1" applyProtection="1">
      <alignment vertical="center"/>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65" fillId="0" borderId="0" xfId="26"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206" fontId="28" fillId="0" borderId="0" xfId="0" applyNumberFormat="1" applyFont="1" applyFill="1" applyAlignment="1" applyProtection="1">
      <alignment vertical="center"/>
    </xf>
    <xf numFmtId="166" fontId="31" fillId="0" borderId="0" xfId="26" applyFont="1" applyFill="1" applyAlignment="1" applyProtection="1"/>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67" fillId="0" borderId="4" xfId="26" applyFont="1" applyFill="1" applyBorder="1" applyAlignment="1" applyProtection="1">
      <alignment horizontal="center" vertical="center" wrapText="1"/>
    </xf>
    <xf numFmtId="166" fontId="67" fillId="0" borderId="3" xfId="26" applyFont="1" applyFill="1" applyBorder="1" applyAlignment="1" applyProtection="1">
      <alignment horizontal="center" vertical="center" wrapText="1"/>
    </xf>
    <xf numFmtId="166" fontId="67" fillId="0" borderId="10"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225" fontId="6" fillId="0" borderId="11" xfId="2" applyNumberFormat="1" applyFont="1" applyBorder="1"/>
    <xf numFmtId="225" fontId="16" fillId="0" borderId="1" xfId="2" applyNumberFormat="1" applyFont="1" applyBorder="1"/>
    <xf numFmtId="225" fontId="16" fillId="0" borderId="9" xfId="2" applyNumberFormat="1" applyFont="1" applyBorder="1"/>
    <xf numFmtId="166" fontId="5" fillId="0" borderId="7" xfId="26" applyFont="1" applyFill="1" applyBorder="1" applyAlignment="1">
      <protection locked="0" hidden="1"/>
    </xf>
    <xf numFmtId="0" fontId="5" fillId="0" borderId="7" xfId="26" applyNumberFormat="1" applyFont="1" applyFill="1" applyBorder="1" applyAlignment="1" applyProtection="1"/>
    <xf numFmtId="166" fontId="5" fillId="0" borderId="0" xfId="26" applyFont="1"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on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0" xfId="0" applyNumberFormat="1" applyFont="1" applyFill="1" applyAlignment="1" applyProtection="1">
      <alignment horizontal="center"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60" fillId="0" borderId="0" xfId="0" applyNumberFormat="1" applyFont="1" applyFill="1" applyAlignment="1" applyProtection="1">
      <alignment horizontal="centerContinuous" readingOrder="1"/>
    </xf>
    <xf numFmtId="0" fontId="60"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2" fontId="41" fillId="0" borderId="12"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12" xfId="0" applyFont="1" applyFill="1" applyBorder="1" applyAlignment="1" applyProtection="1">
      <alignment horizontal="center" wrapText="1"/>
    </xf>
    <xf numFmtId="2" fontId="41" fillId="0" borderId="11" xfId="0" applyNumberFormat="1" applyFont="1" applyFill="1" applyBorder="1" applyAlignment="1" applyProtection="1">
      <alignment horizontal="center" vertical="center" wrapText="1"/>
    </xf>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0" fontId="16" fillId="0" borderId="11" xfId="0" applyNumberFormat="1" applyFont="1" applyFill="1" applyBorder="1" applyAlignment="1" applyProtection="1"/>
    <xf numFmtId="166" fontId="29" fillId="0" borderId="12" xfId="0" applyFont="1" applyFill="1" applyBorder="1" applyAlignment="1" applyProtection="1">
      <alignment horizontal="center"/>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166" fontId="29" fillId="0" borderId="11" xfId="0" applyFont="1" applyFill="1" applyBorder="1" applyAlignment="1" applyProtection="1">
      <alignment horizontal="center"/>
    </xf>
    <xf numFmtId="206" fontId="29" fillId="0" borderId="4" xfId="0" applyNumberFormat="1" applyFont="1" applyFill="1" applyBorder="1" applyAlignment="1" applyProtection="1">
      <alignment horizontal="centerContinuous" vertical="center"/>
    </xf>
    <xf numFmtId="166" fontId="29" fillId="0" borderId="11" xfId="0" applyFont="1" applyFill="1" applyBorder="1" applyAlignment="1" applyProtection="1">
      <alignment horizontal="center" vertical="top" wrapText="1"/>
    </xf>
    <xf numFmtId="166" fontId="46" fillId="0" borderId="12" xfId="0" applyFont="1" applyFill="1" applyBorder="1" applyAlignment="1" applyProtection="1">
      <alignment horizontal="center"/>
    </xf>
    <xf numFmtId="166" fontId="29" fillId="0" borderId="11" xfId="0" applyFont="1" applyFill="1" applyBorder="1" applyAlignment="1" applyProtection="1">
      <alignment horizontal="center" vertical="top"/>
    </xf>
    <xf numFmtId="206" fontId="46" fillId="0" borderId="12" xfId="0" applyNumberFormat="1" applyFont="1" applyFill="1" applyBorder="1" applyAlignment="1" applyProtection="1">
      <alignment horizontal="center"/>
    </xf>
    <xf numFmtId="2" fontId="41" fillId="0" borderId="8" xfId="0" applyNumberFormat="1" applyFont="1" applyFill="1" applyBorder="1" applyAlignment="1" applyProtection="1">
      <alignment horizontal="center" vertical="center" wrapText="1"/>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166" fontId="29" fillId="0" borderId="8" xfId="0" applyFont="1" applyFill="1" applyBorder="1" applyAlignment="1" applyProtection="1">
      <alignment horizontal="center" vertical="top"/>
    </xf>
    <xf numFmtId="206" fontId="46" fillId="0" borderId="8" xfId="0" applyNumberFormat="1" applyFont="1" applyFill="1" applyBorder="1" applyAlignment="1" applyProtection="1">
      <alignment horizontal="center"/>
    </xf>
    <xf numFmtId="0" fontId="16" fillId="0" borderId="8" xfId="0" applyNumberFormat="1" applyFont="1" applyFill="1" applyBorder="1" applyAlignment="1" applyProtection="1"/>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5" fontId="16" fillId="0" borderId="9" xfId="0" applyNumberFormat="1" applyFont="1" applyFill="1" applyBorder="1" applyAlignment="1">
      <alignment horizontal="right"/>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6" fontId="18" fillId="0" borderId="0" xfId="0" applyFont="1" applyFill="1" applyAlignment="1">
      <alignment readingOrder="1"/>
      <protection locked="0" hidden="1"/>
    </xf>
    <xf numFmtId="206" fontId="5" fillId="0" borderId="7" xfId="0" applyNumberFormat="1" applyFont="1" applyFill="1" applyBorder="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76" fontId="22" fillId="0" borderId="1" xfId="0" applyNumberFormat="1" applyFont="1" applyFill="1" applyBorder="1" applyAlignment="1">
      <protection locked="0" hidden="1"/>
    </xf>
    <xf numFmtId="172" fontId="22" fillId="0" borderId="9" xfId="0" applyNumberFormat="1" applyFont="1" applyFill="1" applyBorder="1" applyAlignment="1">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178" fontId="22" fillId="0" borderId="1" xfId="0" applyNumberFormat="1" applyFont="1" applyFill="1" applyBorder="1" applyAlignment="1">
      <protection locked="0" hidden="1"/>
    </xf>
    <xf numFmtId="165" fontId="22" fillId="0" borderId="9" xfId="0" applyNumberFormat="1" applyFont="1" applyFill="1" applyBorder="1" applyAlignment="1">
      <alignment horizontal="right" indent="2"/>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224" fontId="22" fillId="0" borderId="11" xfId="0" applyNumberFormat="1" applyFont="1" applyFill="1" applyBorder="1" applyAlignment="1">
      <alignment horizontal="righ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22" fillId="0" borderId="1" xfId="0" applyNumberFormat="1" applyFont="1" applyFill="1" applyBorder="1" applyAlignment="1">
      <alignment horizontal="center"/>
      <protection locked="0" hidden="1"/>
    </xf>
    <xf numFmtId="164" fontId="22" fillId="0" borderId="9" xfId="0" applyNumberFormat="1" applyFont="1" applyFill="1" applyBorder="1" applyAlignment="1">
      <alignment horizontal="center"/>
      <protection locked="0" hidden="1"/>
    </xf>
    <xf numFmtId="164" fontId="5" fillId="0" borderId="0" xfId="0" applyNumberFormat="1" applyFont="1" applyFill="1" applyAlignment="1">
      <protection locked="0" hidden="1"/>
    </xf>
    <xf numFmtId="198" fontId="71" fillId="0" borderId="0" xfId="0" applyNumberFormat="1" applyFont="1" applyFill="1" applyAlignment="1">
      <alignment horizontal="right" indent="1"/>
      <protection locked="0" hidden="1"/>
    </xf>
    <xf numFmtId="206" fontId="5"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 vertical="top" wrapText="1"/>
    </xf>
    <xf numFmtId="0" fontId="12" fillId="0" borderId="0" xfId="26" applyNumberFormat="1" applyFont="1" applyFill="1" applyAlignment="1" applyProtection="1">
      <alignment horizontal="centerContinuous" readingOrder="2"/>
    </xf>
    <xf numFmtId="166" fontId="72"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11"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12" fillId="0" borderId="12"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73"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73" fillId="0" borderId="43" xfId="2" applyNumberFormat="1" applyFont="1" applyFill="1" applyBorder="1" applyAlignment="1" applyProtection="1">
      <alignment vertical="center"/>
    </xf>
    <xf numFmtId="225" fontId="73"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7"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7"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88"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5" fontId="5" fillId="0" borderId="1" xfId="0" applyNumberFormat="1" applyFont="1" applyFill="1" applyBorder="1" applyAlignment="1">
      <alignment horizontal="right" indent="2"/>
      <protection locked="0" hidden="1"/>
    </xf>
    <xf numFmtId="165" fontId="5" fillId="0" borderId="9" xfId="0" applyNumberFormat="1" applyFont="1" applyFill="1" applyBorder="1" applyAlignment="1">
      <alignment horizontal="right" indent="2"/>
      <protection locked="0" hidden="1"/>
    </xf>
    <xf numFmtId="166" fontId="5"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 fillId="0" borderId="13" xfId="0" applyNumberFormat="1" applyFont="1" applyFill="1" applyBorder="1" applyAlignment="1" applyProtection="1"/>
    <xf numFmtId="0" fontId="5" fillId="0" borderId="9" xfId="0" applyNumberFormat="1" applyFont="1" applyFill="1" applyBorder="1" applyAlignment="1" applyProtection="1"/>
    <xf numFmtId="0" fontId="5" fillId="0" borderId="19" xfId="0" applyNumberFormat="1" applyFont="1" applyFill="1" applyBorder="1" applyAlignment="1" applyProtection="1"/>
    <xf numFmtId="0" fontId="5"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187" fontId="22" fillId="0" borderId="9" xfId="0" applyNumberFormat="1" applyFont="1" applyFill="1" applyBorder="1" applyAlignment="1">
      <protection locked="0" hidden="1"/>
    </xf>
    <xf numFmtId="0" fontId="5" fillId="0" borderId="1" xfId="0" applyNumberFormat="1" applyFont="1" applyFill="1" applyBorder="1" applyAlignment="1" applyProtection="1"/>
    <xf numFmtId="0" fontId="5" fillId="0" borderId="8" xfId="0" applyNumberFormat="1" applyFont="1" applyFill="1" applyBorder="1" applyAlignment="1" applyProtection="1">
      <alignment wrapText="1"/>
    </xf>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203" fontId="18" fillId="0" borderId="9"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167" fontId="22" fillId="0" borderId="9" xfId="0" applyNumberFormat="1" applyFont="1" applyFill="1" applyBorder="1" applyAlignment="1">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9" fontId="22"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9" fillId="0" borderId="0" xfId="0" applyFont="1" applyFill="1" applyAlignment="1">
      <alignment horizontal="centerContinuous"/>
      <protection locked="0" hidden="1"/>
    </xf>
    <xf numFmtId="166" fontId="74"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4" fontId="16" fillId="0" borderId="1" xfId="0" applyNumberFormat="1" applyFont="1" applyFill="1" applyBorder="1" applyAlignment="1">
      <alignment horizontal="right" indent="1" readingOrder="1"/>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24" fillId="0" borderId="12" xfId="0" applyFont="1" applyFill="1" applyBorder="1" applyAlignment="1">
      <alignment horizontal="center" vertical="center" wrapText="1"/>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73"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2" fontId="6" fillId="0" borderId="1" xfId="18" applyNumberFormat="1" applyFont="1" applyFill="1" applyBorder="1" applyAlignment="1">
      <alignment horizontal="center"/>
      <protection locked="0" hidden="1"/>
    </xf>
    <xf numFmtId="2" fontId="6" fillId="0" borderId="9" xfId="18" applyNumberFormat="1" applyFont="1" applyFill="1" applyBorder="1" applyAlignment="1">
      <alignment horizontal="center"/>
      <protection locked="0" hidden="1"/>
    </xf>
    <xf numFmtId="228" fontId="22" fillId="0" borderId="0" xfId="0" applyNumberFormat="1" applyFont="1" applyFill="1" applyAlignment="1">
      <protection locked="0" hidden="1"/>
    </xf>
    <xf numFmtId="228" fontId="22" fillId="0" borderId="11" xfId="0" applyNumberFormat="1" applyFont="1" applyFill="1" applyBorder="1" applyAlignment="1">
      <alignment horizontal="right" indent="2"/>
      <protection locked="0" hidden="1"/>
    </xf>
    <xf numFmtId="218" fontId="22" fillId="0" borderId="1" xfId="0" applyNumberFormat="1" applyFont="1" applyFill="1" applyBorder="1" applyAlignment="1">
      <alignment horizontal="right" indent="2"/>
      <protection locked="0" hidden="1"/>
    </xf>
    <xf numFmtId="218" fontId="22" fillId="0" borderId="9" xfId="0" applyNumberFormat="1" applyFont="1" applyFill="1" applyBorder="1" applyAlignment="1">
      <alignment horizontal="right" indent="2"/>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196" fontId="22" fillId="0" borderId="1" xfId="0" applyNumberFormat="1" applyFont="1" applyFill="1" applyBorder="1" applyAlignment="1">
      <alignment horizontal="right"/>
      <protection locked="0" hidden="1"/>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1" xfId="0" applyNumberFormat="1" applyFont="1" applyFill="1" applyBorder="1" applyAlignment="1">
      <protection locked="0" hidden="1"/>
    </xf>
    <xf numFmtId="182" fontId="22" fillId="0" borderId="9" xfId="0" applyNumberFormat="1" applyFont="1" applyFill="1" applyBorder="1" applyAlignment="1">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22" fillId="0" borderId="1" xfId="0" applyNumberFormat="1" applyFont="1" applyFill="1" applyBorder="1" applyAlignment="1">
      <protection locked="0" hidden="1"/>
    </xf>
    <xf numFmtId="175" fontId="22" fillId="0" borderId="9" xfId="0" applyNumberFormat="1" applyFont="1" applyFill="1" applyBorder="1" applyAlignment="1">
      <protection locked="0" hidden="1"/>
    </xf>
    <xf numFmtId="181" fontId="18" fillId="0" borderId="0" xfId="0" applyNumberFormat="1" applyFont="1" applyFill="1" applyAlignment="1" applyProtection="1"/>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 fillId="0" borderId="0" xfId="0" applyNumberFormat="1" applyFont="1" applyFill="1" applyAlignment="1" applyProtection="1"/>
    <xf numFmtId="0" fontId="41" fillId="0" borderId="3" xfId="28" applyFont="1" applyBorder="1" applyAlignment="1">
      <alignment horizontal="center"/>
    </xf>
    <xf numFmtId="0" fontId="16" fillId="0" borderId="0" xfId="28" applyFont="1"/>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7" borderId="23" xfId="28" applyFont="1" applyFill="1" applyBorder="1" applyAlignment="1">
      <alignment horizontal="left" vertical="center"/>
    </xf>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5" borderId="23" xfId="28" applyFont="1" applyFill="1" applyBorder="1" applyAlignment="1">
      <alignment horizontal="center" vertical="center"/>
    </xf>
    <xf numFmtId="0" fontId="29" fillId="9" borderId="23" xfId="28" applyFont="1" applyFill="1" applyBorder="1" applyAlignment="1">
      <alignment horizontal="center" vertical="center"/>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left" vertical="top"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0" fontId="16" fillId="0" borderId="23" xfId="28" applyFont="1" applyBorder="1" applyAlignment="1">
      <alignment horizontal="left" vertical="top"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76"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7" fillId="0" borderId="0" xfId="0" applyFont="1" applyFill="1" applyAlignment="1">
      <protection locked="0" hidden="1"/>
    </xf>
    <xf numFmtId="166" fontId="77" fillId="0" borderId="31" xfId="0" applyFont="1" applyFill="1" applyBorder="1" applyAlignment="1">
      <protection locked="0" hidden="1"/>
    </xf>
    <xf numFmtId="166" fontId="77" fillId="0" borderId="32" xfId="0" applyFont="1" applyFill="1" applyBorder="1" applyAlignment="1">
      <protection locked="0" hidden="1"/>
    </xf>
    <xf numFmtId="166" fontId="77"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60"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8" fillId="0" borderId="0" xfId="0" applyFont="1" applyFill="1" applyAlignment="1">
      <alignment horizontal="centerContinuous"/>
      <protection locked="0" hidden="1"/>
    </xf>
    <xf numFmtId="166" fontId="77" fillId="0" borderId="34" xfId="0" applyFont="1" applyFill="1" applyBorder="1" applyAlignment="1">
      <alignment vertical="top"/>
      <protection locked="0" hidden="1"/>
    </xf>
    <xf numFmtId="166" fontId="79" fillId="0" borderId="0" xfId="0" applyFont="1" applyFill="1" applyAlignment="1">
      <alignment readingOrder="1"/>
      <protection locked="0" hidden="1"/>
    </xf>
    <xf numFmtId="166" fontId="62" fillId="0" borderId="0" xfId="0" applyFont="1" applyFill="1" applyAlignment="1">
      <alignment vertical="top"/>
      <protection locked="0" hidden="1"/>
    </xf>
    <xf numFmtId="166" fontId="80" fillId="0" borderId="0" xfId="0" applyFont="1" applyFill="1" applyAlignment="1">
      <alignment horizontal="center" vertical="top"/>
      <protection locked="0" hidden="1"/>
    </xf>
    <xf numFmtId="166" fontId="81" fillId="0" borderId="0" xfId="0" applyFont="1" applyFill="1" applyAlignment="1">
      <alignment horizontal="right" readingOrder="2"/>
      <protection locked="0" hidden="1"/>
    </xf>
    <xf numFmtId="166" fontId="77" fillId="0" borderId="35" xfId="0" applyFont="1" applyFill="1" applyBorder="1" applyAlignment="1">
      <alignment vertical="top"/>
      <protection locked="0" hidden="1"/>
    </xf>
    <xf numFmtId="166" fontId="77" fillId="0" borderId="0" xfId="0" applyFont="1" applyFill="1" applyAlignment="1">
      <alignment vertical="top"/>
      <protection locked="0" hidden="1"/>
    </xf>
    <xf numFmtId="166" fontId="77" fillId="0" borderId="34" xfId="0" applyFont="1" applyFill="1" applyBorder="1" applyAlignment="1">
      <protection locked="0" hidden="1"/>
    </xf>
    <xf numFmtId="166" fontId="36" fillId="0" borderId="0" xfId="0" applyFont="1" applyFill="1" applyAlignment="1">
      <protection locked="0" hidden="1"/>
    </xf>
    <xf numFmtId="166" fontId="80" fillId="0" borderId="0" xfId="0" applyFont="1" applyFill="1" applyAlignment="1">
      <protection locked="0" hidden="1"/>
    </xf>
    <xf numFmtId="166" fontId="80" fillId="0" borderId="0" xfId="0" applyFont="1" applyFill="1" applyAlignment="1">
      <alignment horizontal="center"/>
      <protection locked="0" hidden="1"/>
    </xf>
    <xf numFmtId="166" fontId="82" fillId="0" borderId="0" xfId="0" applyFont="1" applyFill="1" applyAlignment="1">
      <alignment horizontal="right"/>
      <protection locked="0" hidden="1"/>
    </xf>
    <xf numFmtId="166" fontId="77" fillId="0" borderId="35" xfId="0" applyFont="1" applyFill="1" applyBorder="1" applyAlignment="1">
      <protection locked="0" hidden="1"/>
    </xf>
    <xf numFmtId="166" fontId="77" fillId="0" borderId="36" xfId="0" applyFont="1" applyFill="1" applyBorder="1" applyAlignment="1">
      <protection locked="0" hidden="1"/>
    </xf>
    <xf numFmtId="166" fontId="77" fillId="0" borderId="36" xfId="0" applyFont="1" applyFill="1" applyBorder="1" applyAlignment="1">
      <alignment horizontal="right"/>
      <protection locked="0" hidden="1"/>
    </xf>
    <xf numFmtId="166" fontId="83" fillId="0" borderId="36" xfId="0" applyFont="1" applyFill="1" applyBorder="1" applyAlignment="1">
      <alignment horizontal="right"/>
      <protection locked="0" hidden="1"/>
    </xf>
    <xf numFmtId="166" fontId="83"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7" fillId="0" borderId="36" xfId="0" applyFont="1" applyFill="1" applyBorder="1" applyAlignment="1">
      <alignment wrapText="1"/>
      <protection locked="0" hidden="1"/>
    </xf>
    <xf numFmtId="166" fontId="77" fillId="0" borderId="37" xfId="0" applyFont="1" applyFill="1" applyBorder="1" applyAlignment="1">
      <protection locked="0" hidden="1"/>
    </xf>
    <xf numFmtId="166" fontId="77" fillId="0" borderId="38" xfId="0" applyFont="1" applyFill="1" applyBorder="1" applyAlignment="1">
      <protection locked="0" hidden="1"/>
    </xf>
    <xf numFmtId="166" fontId="77" fillId="0" borderId="38" xfId="0" applyFont="1" applyFill="1" applyBorder="1" applyAlignment="1">
      <alignment horizontal="right"/>
      <protection locked="0" hidden="1"/>
    </xf>
    <xf numFmtId="166" fontId="77" fillId="0" borderId="39" xfId="0" applyFont="1" applyFill="1" applyBorder="1" applyAlignment="1">
      <protection locked="0" hidden="1"/>
    </xf>
    <xf numFmtId="166" fontId="77" fillId="0" borderId="0" xfId="0" applyFont="1" applyFill="1" applyAlignment="1">
      <alignment horizontal="right"/>
      <protection locked="0" hidden="1"/>
    </xf>
    <xf numFmtId="166" fontId="77"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2"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B6" sqref="B6"/>
    </sheetView>
  </sheetViews>
  <sheetFormatPr defaultColWidth="7.85546875" defaultRowHeight="13.5"/>
  <cols>
    <col min="1" max="1" width="2.28515625" style="2094" customWidth="1"/>
    <col min="2" max="2" width="76.7109375" style="2094" customWidth="1"/>
    <col min="3" max="3" width="3.7109375" style="2094" customWidth="1"/>
    <col min="4" max="4" width="5.7109375" style="2094" customWidth="1"/>
    <col min="5" max="5" width="3.85546875" style="2094" customWidth="1"/>
    <col min="6" max="6" width="76.85546875" style="2094" customWidth="1"/>
    <col min="7" max="7" width="2.28515625" style="2094" customWidth="1"/>
    <col min="8" max="16384" width="7.85546875" style="2094"/>
  </cols>
  <sheetData>
    <row r="1" spans="1:7" ht="21.2" customHeight="1" thickBot="1"/>
    <row r="2" spans="1:7" ht="9" customHeight="1">
      <c r="A2" s="2095"/>
      <c r="B2" s="2096"/>
      <c r="C2" s="2096"/>
      <c r="D2" s="2096"/>
      <c r="E2" s="2096"/>
      <c r="F2" s="2096"/>
      <c r="G2" s="2097"/>
    </row>
    <row r="3" spans="1:7" s="2102" customFormat="1" ht="18">
      <c r="A3" s="2098" t="s">
        <v>1795</v>
      </c>
      <c r="B3" s="2099"/>
      <c r="C3" s="1690"/>
      <c r="D3" s="2099"/>
      <c r="E3" s="1690"/>
      <c r="F3" s="2100"/>
      <c r="G3" s="2101"/>
    </row>
    <row r="4" spans="1:7" s="2102" customFormat="1" ht="9" customHeight="1">
      <c r="A4" s="2098"/>
      <c r="B4" s="2100"/>
      <c r="C4" s="2100"/>
      <c r="D4" s="2103"/>
      <c r="E4" s="2100"/>
      <c r="F4" s="2100"/>
      <c r="G4" s="2101"/>
    </row>
    <row r="5" spans="1:7" s="2102" customFormat="1" ht="14.85" customHeight="1">
      <c r="A5" s="2098" t="s">
        <v>1796</v>
      </c>
      <c r="B5" s="2100"/>
      <c r="C5" s="2100"/>
      <c r="D5" s="2103"/>
      <c r="E5" s="2100"/>
      <c r="F5" s="2100"/>
      <c r="G5" s="2101"/>
    </row>
    <row r="6" spans="1:7" s="2110" customFormat="1" ht="21.2" customHeight="1">
      <c r="A6" s="2104"/>
      <c r="B6" s="2105" t="s">
        <v>0</v>
      </c>
      <c r="C6" s="2106"/>
      <c r="D6" s="2107"/>
      <c r="E6" s="2106"/>
      <c r="F6" s="2108" t="s">
        <v>1</v>
      </c>
      <c r="G6" s="2109"/>
    </row>
    <row r="7" spans="1:7" ht="20.25" customHeight="1">
      <c r="A7" s="2111"/>
      <c r="B7" s="2112" t="s">
        <v>2</v>
      </c>
      <c r="C7" s="2113"/>
      <c r="D7" s="2114"/>
      <c r="E7" s="2113"/>
      <c r="F7" s="2115" t="s">
        <v>3</v>
      </c>
      <c r="G7" s="2116"/>
    </row>
    <row r="8" spans="1:7" ht="20.25" customHeight="1">
      <c r="A8" s="2111"/>
      <c r="B8" s="2117" t="s">
        <v>4</v>
      </c>
      <c r="C8" s="2117"/>
      <c r="D8" s="2118">
        <v>1</v>
      </c>
      <c r="E8" s="2117"/>
      <c r="F8" s="2119" t="s">
        <v>5</v>
      </c>
      <c r="G8" s="2116"/>
    </row>
    <row r="9" spans="1:7" ht="17.45" customHeight="1">
      <c r="A9" s="2111"/>
      <c r="B9" s="2117" t="s">
        <v>6</v>
      </c>
      <c r="C9" s="2117"/>
      <c r="D9" s="2118">
        <v>2</v>
      </c>
      <c r="E9" s="2117"/>
      <c r="F9" s="2119" t="s">
        <v>7</v>
      </c>
      <c r="G9" s="2116"/>
    </row>
    <row r="10" spans="1:7" ht="17.45" customHeight="1">
      <c r="A10" s="2111"/>
      <c r="B10" s="2117" t="s">
        <v>8</v>
      </c>
      <c r="C10" s="2117"/>
      <c r="D10" s="2118">
        <v>3</v>
      </c>
      <c r="E10" s="2117"/>
      <c r="F10" s="2119" t="s">
        <v>9</v>
      </c>
      <c r="G10" s="2116"/>
    </row>
    <row r="11" spans="1:7" ht="17.45" customHeight="1">
      <c r="A11" s="2111"/>
      <c r="B11" s="2117" t="s">
        <v>10</v>
      </c>
      <c r="C11" s="2117"/>
      <c r="D11" s="2118">
        <v>4</v>
      </c>
      <c r="E11" s="2117"/>
      <c r="F11" s="2119" t="s">
        <v>11</v>
      </c>
      <c r="G11" s="2116"/>
    </row>
    <row r="12" spans="1:7" ht="17.45" customHeight="1">
      <c r="A12" s="2111"/>
      <c r="B12" s="2117" t="s">
        <v>12</v>
      </c>
      <c r="C12" s="2117"/>
      <c r="D12" s="2118">
        <v>5</v>
      </c>
      <c r="E12" s="2117"/>
      <c r="F12" s="2119" t="s">
        <v>13</v>
      </c>
      <c r="G12" s="2116"/>
    </row>
    <row r="13" spans="1:7" ht="17.45" customHeight="1">
      <c r="A13" s="2111"/>
      <c r="B13" s="2117" t="s">
        <v>14</v>
      </c>
      <c r="C13" s="2117"/>
      <c r="D13" s="2118">
        <v>6</v>
      </c>
      <c r="E13" s="2117"/>
      <c r="F13" s="2119" t="s">
        <v>15</v>
      </c>
      <c r="G13" s="2116"/>
    </row>
    <row r="14" spans="1:7" ht="17.45" customHeight="1">
      <c r="A14" s="2111"/>
      <c r="B14" s="2117" t="s">
        <v>16</v>
      </c>
      <c r="C14" s="2117"/>
      <c r="D14" s="2118">
        <v>7</v>
      </c>
      <c r="E14" s="2117"/>
      <c r="F14" s="2119" t="s">
        <v>17</v>
      </c>
      <c r="G14" s="2116"/>
    </row>
    <row r="15" spans="1:7" ht="17.45" customHeight="1">
      <c r="A15" s="2111"/>
      <c r="B15" s="2117" t="s">
        <v>18</v>
      </c>
      <c r="C15" s="2117"/>
      <c r="D15" s="2118">
        <v>8</v>
      </c>
      <c r="E15" s="2117"/>
      <c r="F15" s="2119" t="s">
        <v>19</v>
      </c>
      <c r="G15" s="2116"/>
    </row>
    <row r="16" spans="1:7" ht="17.45" customHeight="1">
      <c r="A16" s="2111"/>
      <c r="B16" s="2117" t="s">
        <v>20</v>
      </c>
      <c r="C16" s="2117"/>
      <c r="D16" s="2118">
        <v>9</v>
      </c>
      <c r="E16" s="2117"/>
      <c r="F16" s="2119" t="s">
        <v>21</v>
      </c>
      <c r="G16" s="2116"/>
    </row>
    <row r="17" spans="1:7" ht="17.45" customHeight="1">
      <c r="A17" s="2111"/>
      <c r="B17" s="2117" t="s">
        <v>22</v>
      </c>
      <c r="C17" s="2117"/>
      <c r="D17" s="2118">
        <v>10</v>
      </c>
      <c r="E17" s="2117"/>
      <c r="F17" s="2119" t="s">
        <v>23</v>
      </c>
      <c r="G17" s="2116"/>
    </row>
    <row r="18" spans="1:7" ht="17.45" customHeight="1">
      <c r="A18" s="2111"/>
      <c r="B18" s="2117" t="s">
        <v>24</v>
      </c>
      <c r="C18" s="2117"/>
      <c r="D18" s="2118">
        <v>11</v>
      </c>
      <c r="E18" s="2117"/>
      <c r="F18" s="2119" t="s">
        <v>25</v>
      </c>
      <c r="G18" s="2116"/>
    </row>
    <row r="19" spans="1:7" ht="17.45" customHeight="1">
      <c r="A19" s="2111"/>
      <c r="B19" s="2117" t="s">
        <v>26</v>
      </c>
      <c r="C19" s="2117"/>
      <c r="D19" s="2118">
        <v>12</v>
      </c>
      <c r="E19" s="2117"/>
      <c r="F19" s="2119" t="s">
        <v>27</v>
      </c>
      <c r="G19" s="2116"/>
    </row>
    <row r="20" spans="1:7" ht="17.45" customHeight="1">
      <c r="A20" s="2111"/>
      <c r="B20" s="2117" t="s">
        <v>28</v>
      </c>
      <c r="C20" s="2117"/>
      <c r="D20" s="2118">
        <v>13</v>
      </c>
      <c r="E20" s="2117"/>
      <c r="F20" s="2120" t="s">
        <v>29</v>
      </c>
      <c r="G20" s="2116"/>
    </row>
    <row r="21" spans="1:7" s="148" customFormat="1" ht="20.25" customHeight="1">
      <c r="A21" s="2121"/>
      <c r="B21" s="2112" t="s">
        <v>30</v>
      </c>
      <c r="C21" s="2112"/>
      <c r="D21" s="2122"/>
      <c r="E21" s="2112"/>
      <c r="F21" s="2115" t="s">
        <v>31</v>
      </c>
      <c r="G21" s="2123"/>
    </row>
    <row r="22" spans="1:7" ht="20.25" customHeight="1">
      <c r="A22" s="2111"/>
      <c r="B22" s="2117" t="s">
        <v>32</v>
      </c>
      <c r="C22" s="2117"/>
      <c r="D22" s="2118">
        <v>14</v>
      </c>
      <c r="E22" s="1351"/>
      <c r="F22" s="2119" t="s">
        <v>33</v>
      </c>
      <c r="G22" s="2116"/>
    </row>
    <row r="23" spans="1:7" ht="17.45" customHeight="1">
      <c r="A23" s="2111"/>
      <c r="B23" s="2117" t="s">
        <v>34</v>
      </c>
      <c r="C23" s="2117"/>
      <c r="D23" s="2118">
        <v>15</v>
      </c>
      <c r="E23" s="2117"/>
      <c r="F23" s="2119" t="s">
        <v>35</v>
      </c>
      <c r="G23" s="2116"/>
    </row>
    <row r="24" spans="1:7" ht="17.45" customHeight="1">
      <c r="A24" s="2111"/>
      <c r="B24" s="2117" t="s">
        <v>36</v>
      </c>
      <c r="C24" s="2117"/>
      <c r="D24" s="2118">
        <v>16</v>
      </c>
      <c r="E24" s="2117"/>
      <c r="F24" s="2119" t="s">
        <v>37</v>
      </c>
      <c r="G24" s="2116"/>
    </row>
    <row r="25" spans="1:7" ht="17.45" customHeight="1">
      <c r="A25" s="2111"/>
      <c r="B25" s="2117" t="s">
        <v>38</v>
      </c>
      <c r="C25" s="2117"/>
      <c r="D25" s="2118">
        <v>17</v>
      </c>
      <c r="E25" s="2117"/>
      <c r="F25" s="2119" t="s">
        <v>39</v>
      </c>
      <c r="G25" s="2116"/>
    </row>
    <row r="26" spans="1:7" ht="17.45" customHeight="1">
      <c r="A26" s="2111"/>
      <c r="B26" s="2117" t="s">
        <v>40</v>
      </c>
      <c r="C26" s="2117"/>
      <c r="D26" s="2118">
        <v>18</v>
      </c>
      <c r="E26" s="2117"/>
      <c r="F26" s="2119" t="s">
        <v>41</v>
      </c>
      <c r="G26" s="2116"/>
    </row>
    <row r="27" spans="1:7" ht="17.45" customHeight="1">
      <c r="A27" s="2111"/>
      <c r="B27" s="2117" t="s">
        <v>42</v>
      </c>
      <c r="C27" s="2117"/>
      <c r="D27" s="2118">
        <v>19</v>
      </c>
      <c r="E27" s="2117"/>
      <c r="F27" s="2119" t="s">
        <v>43</v>
      </c>
      <c r="G27" s="2116"/>
    </row>
    <row r="28" spans="1:7" ht="17.45" customHeight="1">
      <c r="A28" s="2111"/>
      <c r="B28" s="2117" t="s">
        <v>44</v>
      </c>
      <c r="C28" s="2117"/>
      <c r="D28" s="2118">
        <v>20</v>
      </c>
      <c r="E28" s="2117"/>
      <c r="F28" s="2119" t="s">
        <v>45</v>
      </c>
      <c r="G28" s="2116"/>
    </row>
    <row r="29" spans="1:7" ht="27">
      <c r="A29" s="2111"/>
      <c r="B29" s="2124" t="s">
        <v>46</v>
      </c>
      <c r="C29" s="2117"/>
      <c r="D29" s="2118">
        <v>21</v>
      </c>
      <c r="E29" s="2117"/>
      <c r="F29" s="2119" t="s">
        <v>47</v>
      </c>
      <c r="G29" s="2116"/>
    </row>
    <row r="30" spans="1:7" ht="17.45" customHeight="1">
      <c r="A30" s="2111"/>
      <c r="B30" s="2117" t="s">
        <v>48</v>
      </c>
      <c r="C30" s="2117"/>
      <c r="D30" s="2118">
        <v>22</v>
      </c>
      <c r="E30" s="2117"/>
      <c r="F30" s="2119" t="s">
        <v>49</v>
      </c>
      <c r="G30" s="2116"/>
    </row>
    <row r="31" spans="1:7" ht="17.45" customHeight="1">
      <c r="A31" s="2111"/>
      <c r="B31" s="2117" t="s">
        <v>50</v>
      </c>
      <c r="C31" s="2117"/>
      <c r="D31" s="2118">
        <v>23</v>
      </c>
      <c r="E31" s="2117"/>
      <c r="F31" s="2119" t="s">
        <v>51</v>
      </c>
      <c r="G31" s="2116"/>
    </row>
    <row r="32" spans="1:7" s="2102" customFormat="1" ht="16.5" customHeight="1">
      <c r="A32" s="2098"/>
      <c r="B32" s="2117" t="s">
        <v>52</v>
      </c>
      <c r="C32" s="2117"/>
      <c r="D32" s="2118">
        <v>24</v>
      </c>
      <c r="E32" s="2117"/>
      <c r="F32" s="2119" t="s">
        <v>53</v>
      </c>
      <c r="G32" s="2101"/>
    </row>
    <row r="33" spans="1:7" ht="17.45" customHeight="1">
      <c r="A33" s="2111"/>
      <c r="B33" s="2117" t="s">
        <v>54</v>
      </c>
      <c r="C33" s="2117"/>
      <c r="D33" s="2118">
        <v>25</v>
      </c>
      <c r="E33" s="2117"/>
      <c r="F33" s="2119" t="s">
        <v>55</v>
      </c>
      <c r="G33" s="2116"/>
    </row>
    <row r="34" spans="1:7" ht="17.45" customHeight="1">
      <c r="A34" s="2111"/>
      <c r="B34" s="2117" t="s">
        <v>56</v>
      </c>
      <c r="C34" s="2117"/>
      <c r="D34" s="2118">
        <v>26</v>
      </c>
      <c r="E34" s="2117"/>
      <c r="F34" s="2119" t="s">
        <v>57</v>
      </c>
      <c r="G34" s="2116"/>
    </row>
    <row r="35" spans="1:7" ht="17.45" customHeight="1">
      <c r="A35" s="2111"/>
      <c r="B35" s="2117" t="s">
        <v>58</v>
      </c>
      <c r="C35" s="2117"/>
      <c r="D35" s="2118">
        <v>27</v>
      </c>
      <c r="E35" s="2117"/>
      <c r="F35" s="2119" t="s">
        <v>59</v>
      </c>
      <c r="G35" s="2116"/>
    </row>
    <row r="36" spans="1:7" s="148" customFormat="1" ht="20.25" customHeight="1">
      <c r="A36" s="2121"/>
      <c r="B36" s="2112" t="s">
        <v>60</v>
      </c>
      <c r="C36" s="2112"/>
      <c r="D36" s="2122"/>
      <c r="E36" s="2112"/>
      <c r="F36" s="2115" t="s">
        <v>61</v>
      </c>
      <c r="G36" s="2123"/>
    </row>
    <row r="37" spans="1:7" ht="20.25" customHeight="1">
      <c r="A37" s="2111"/>
      <c r="B37" s="2117" t="s">
        <v>32</v>
      </c>
      <c r="C37" s="2117"/>
      <c r="D37" s="2118">
        <v>28</v>
      </c>
      <c r="E37" s="2117"/>
      <c r="F37" s="2119" t="s">
        <v>33</v>
      </c>
      <c r="G37" s="2116"/>
    </row>
    <row r="38" spans="1:7" ht="17.45" customHeight="1">
      <c r="A38" s="2111"/>
      <c r="B38" s="2117" t="s">
        <v>34</v>
      </c>
      <c r="C38" s="2117"/>
      <c r="D38" s="2118">
        <v>29</v>
      </c>
      <c r="E38" s="2117"/>
      <c r="F38" s="2119" t="s">
        <v>35</v>
      </c>
      <c r="G38" s="2116"/>
    </row>
    <row r="39" spans="1:7" ht="17.45" customHeight="1">
      <c r="A39" s="2111"/>
      <c r="B39" s="2117" t="s">
        <v>50</v>
      </c>
      <c r="C39" s="2117"/>
      <c r="D39" s="2118">
        <v>30</v>
      </c>
      <c r="E39" s="2117"/>
      <c r="F39" s="2119" t="s">
        <v>51</v>
      </c>
      <c r="G39" s="2116"/>
    </row>
    <row r="40" spans="1:7" s="2102" customFormat="1" ht="17.45" customHeight="1">
      <c r="A40" s="2098"/>
      <c r="B40" s="2117" t="s">
        <v>52</v>
      </c>
      <c r="C40" s="2117"/>
      <c r="D40" s="2118">
        <v>31</v>
      </c>
      <c r="E40" s="2117"/>
      <c r="F40" s="2119" t="s">
        <v>53</v>
      </c>
      <c r="G40" s="2101"/>
    </row>
    <row r="41" spans="1:7" ht="7.5" customHeight="1" thickBot="1">
      <c r="A41" s="2125"/>
      <c r="B41" s="2126"/>
      <c r="C41" s="2126"/>
      <c r="D41" s="2126"/>
      <c r="E41" s="2126"/>
      <c r="F41" s="2127"/>
      <c r="G41" s="2128"/>
    </row>
    <row r="42" spans="1:7" ht="13.5" customHeight="1" thickBot="1">
      <c r="F42" s="2129"/>
    </row>
    <row r="43" spans="1:7" ht="9" customHeight="1">
      <c r="A43" s="2095"/>
      <c r="B43" s="2096"/>
      <c r="C43" s="2096"/>
      <c r="D43" s="2096"/>
      <c r="E43" s="2096"/>
      <c r="F43" s="2130"/>
      <c r="G43" s="2097"/>
    </row>
    <row r="44" spans="1:7" s="2102" customFormat="1" ht="18">
      <c r="A44" s="2098" t="s">
        <v>1795</v>
      </c>
      <c r="B44" s="2099"/>
      <c r="C44" s="1690"/>
      <c r="D44" s="2099"/>
      <c r="E44" s="1690"/>
      <c r="F44" s="2100"/>
      <c r="G44" s="2101"/>
    </row>
    <row r="45" spans="1:7" s="2102" customFormat="1" ht="14.85" customHeight="1">
      <c r="A45" s="2098"/>
      <c r="B45" s="2100"/>
      <c r="C45" s="2100"/>
      <c r="D45" s="2103"/>
      <c r="E45" s="2100"/>
      <c r="F45" s="2100"/>
      <c r="G45" s="2101"/>
    </row>
    <row r="46" spans="1:7" s="2102" customFormat="1" ht="14.85" customHeight="1">
      <c r="A46" s="2098" t="s">
        <v>1796</v>
      </c>
      <c r="B46" s="2100"/>
      <c r="C46" s="2100"/>
      <c r="D46" s="2103"/>
      <c r="E46" s="2100"/>
      <c r="F46" s="2100"/>
      <c r="G46" s="2101"/>
    </row>
    <row r="47" spans="1:7" s="148" customFormat="1" ht="20.25" customHeight="1">
      <c r="A47" s="2121"/>
      <c r="B47" s="2112" t="s">
        <v>62</v>
      </c>
      <c r="C47" s="2112"/>
      <c r="D47" s="2122"/>
      <c r="E47" s="2112"/>
      <c r="F47" s="2115" t="s">
        <v>63</v>
      </c>
      <c r="G47" s="2123"/>
    </row>
    <row r="48" spans="1:7" ht="20.25" customHeight="1">
      <c r="A48" s="2111"/>
      <c r="B48" s="2117" t="s">
        <v>32</v>
      </c>
      <c r="C48" s="2117"/>
      <c r="D48" s="2118">
        <v>32</v>
      </c>
      <c r="E48" s="2117"/>
      <c r="F48" s="2119" t="s">
        <v>33</v>
      </c>
      <c r="G48" s="2116"/>
    </row>
    <row r="49" spans="1:7" ht="17.45" customHeight="1">
      <c r="A49" s="2111"/>
      <c r="B49" s="2117" t="s">
        <v>34</v>
      </c>
      <c r="C49" s="2117"/>
      <c r="D49" s="2118">
        <v>33</v>
      </c>
      <c r="E49" s="2117"/>
      <c r="F49" s="2119" t="s">
        <v>35</v>
      </c>
      <c r="G49" s="2116"/>
    </row>
    <row r="50" spans="1:7" ht="17.45" customHeight="1">
      <c r="A50" s="2111"/>
      <c r="B50" s="2117" t="s">
        <v>50</v>
      </c>
      <c r="C50" s="2117"/>
      <c r="D50" s="2118">
        <v>34</v>
      </c>
      <c r="E50" s="2117"/>
      <c r="F50" s="2119" t="s">
        <v>51</v>
      </c>
      <c r="G50" s="2116"/>
    </row>
    <row r="51" spans="1:7" s="2102" customFormat="1" ht="17.45" customHeight="1">
      <c r="A51" s="2098"/>
      <c r="B51" s="2117" t="s">
        <v>52</v>
      </c>
      <c r="C51" s="2117"/>
      <c r="D51" s="2118">
        <v>35</v>
      </c>
      <c r="E51" s="2117"/>
      <c r="F51" s="2119" t="s">
        <v>53</v>
      </c>
      <c r="G51" s="2101"/>
    </row>
    <row r="52" spans="1:7" ht="17.45" customHeight="1">
      <c r="A52" s="2111"/>
      <c r="B52" s="2117" t="s">
        <v>64</v>
      </c>
      <c r="C52" s="2117"/>
      <c r="D52" s="2118">
        <v>36</v>
      </c>
      <c r="E52" s="2117"/>
      <c r="F52" s="2119" t="s">
        <v>65</v>
      </c>
      <c r="G52" s="2116"/>
    </row>
    <row r="53" spans="1:7" s="148" customFormat="1" ht="20.25" customHeight="1">
      <c r="A53" s="2121"/>
      <c r="B53" s="2112" t="s">
        <v>66</v>
      </c>
      <c r="C53" s="2112"/>
      <c r="D53" s="2122"/>
      <c r="E53" s="2112"/>
      <c r="F53" s="2115" t="s">
        <v>67</v>
      </c>
      <c r="G53" s="2123"/>
    </row>
    <row r="54" spans="1:7" ht="20.25" customHeight="1">
      <c r="A54" s="2111"/>
      <c r="B54" s="2117" t="s">
        <v>68</v>
      </c>
      <c r="C54" s="2117"/>
      <c r="D54" s="2118">
        <v>37</v>
      </c>
      <c r="E54" s="2117"/>
      <c r="F54" s="2119" t="s">
        <v>67</v>
      </c>
      <c r="G54" s="2116"/>
    </row>
    <row r="55" spans="1:7" ht="17.45" customHeight="1">
      <c r="A55" s="2111"/>
      <c r="B55" s="2117" t="s">
        <v>69</v>
      </c>
      <c r="C55" s="2117"/>
      <c r="D55" s="2118">
        <v>38</v>
      </c>
      <c r="E55" s="2117"/>
      <c r="F55" s="2119" t="s">
        <v>70</v>
      </c>
      <c r="G55" s="2116"/>
    </row>
    <row r="56" spans="1:7" ht="17.45" customHeight="1">
      <c r="A56" s="2111"/>
      <c r="B56" s="2117" t="s">
        <v>71</v>
      </c>
      <c r="C56" s="2117"/>
      <c r="D56" s="2118">
        <v>39</v>
      </c>
      <c r="E56" s="2117"/>
      <c r="F56" s="2119" t="s">
        <v>72</v>
      </c>
      <c r="G56" s="2116"/>
    </row>
    <row r="57" spans="1:7" ht="21.2" customHeight="1">
      <c r="A57" s="2111"/>
      <c r="B57" s="2131" t="s">
        <v>73</v>
      </c>
      <c r="C57" s="2117"/>
      <c r="D57" s="2118">
        <v>40</v>
      </c>
      <c r="E57" s="2117"/>
      <c r="F57" s="2132" t="s">
        <v>74</v>
      </c>
      <c r="G57" s="2116"/>
    </row>
    <row r="58" spans="1:7" ht="21.2" customHeight="1">
      <c r="A58" s="2111"/>
      <c r="B58" s="2131" t="s">
        <v>75</v>
      </c>
      <c r="C58" s="2117"/>
      <c r="D58" s="2118">
        <v>41</v>
      </c>
      <c r="E58" s="2117"/>
      <c r="F58" s="2132" t="s">
        <v>76</v>
      </c>
      <c r="G58" s="2116"/>
    </row>
    <row r="59" spans="1:7" ht="21.2" customHeight="1">
      <c r="A59" s="2111"/>
      <c r="B59" s="2131" t="s">
        <v>77</v>
      </c>
      <c r="C59" s="2117"/>
      <c r="D59" s="2118">
        <v>42</v>
      </c>
      <c r="E59" s="2117"/>
      <c r="F59" s="2132" t="s">
        <v>78</v>
      </c>
      <c r="G59" s="2116"/>
    </row>
    <row r="60" spans="1:7" ht="21.2" customHeight="1">
      <c r="A60" s="2111"/>
      <c r="B60" s="2131" t="s">
        <v>79</v>
      </c>
      <c r="C60" s="2117"/>
      <c r="D60" s="2118">
        <v>43</v>
      </c>
      <c r="E60" s="2117"/>
      <c r="F60" s="2132" t="s">
        <v>80</v>
      </c>
      <c r="G60" s="2116"/>
    </row>
    <row r="61" spans="1:7" s="148" customFormat="1" ht="20.25" customHeight="1">
      <c r="A61" s="2121"/>
      <c r="B61" s="2112" t="s">
        <v>81</v>
      </c>
      <c r="C61" s="2112"/>
      <c r="D61" s="2122"/>
      <c r="E61" s="2112"/>
      <c r="F61" s="2115" t="s">
        <v>82</v>
      </c>
      <c r="G61" s="2123"/>
    </row>
    <row r="62" spans="1:7" ht="20.25" customHeight="1">
      <c r="A62" s="2111"/>
      <c r="B62" s="2117" t="s">
        <v>81</v>
      </c>
      <c r="C62" s="2117"/>
      <c r="D62" s="2118">
        <v>44</v>
      </c>
      <c r="E62" s="2117"/>
      <c r="F62" s="2119" t="s">
        <v>82</v>
      </c>
      <c r="G62" s="2116"/>
    </row>
    <row r="63" spans="1:7" ht="17.45" customHeight="1">
      <c r="A63" s="2111"/>
      <c r="B63" s="2117" t="s">
        <v>83</v>
      </c>
      <c r="C63" s="2117"/>
      <c r="D63" s="2118">
        <v>45</v>
      </c>
      <c r="E63" s="2117"/>
      <c r="F63" s="2119" t="s">
        <v>84</v>
      </c>
      <c r="G63" s="2116"/>
    </row>
    <row r="64" spans="1:7" ht="17.45" customHeight="1">
      <c r="A64" s="2111"/>
      <c r="B64" s="2117" t="s">
        <v>85</v>
      </c>
      <c r="C64" s="2117"/>
      <c r="D64" s="2118">
        <v>46</v>
      </c>
      <c r="E64" s="2117"/>
      <c r="F64" s="2119" t="s">
        <v>86</v>
      </c>
      <c r="G64" s="2116"/>
    </row>
    <row r="65" spans="1:7" ht="17.45" customHeight="1">
      <c r="A65" s="2111"/>
      <c r="B65" s="2117" t="s">
        <v>87</v>
      </c>
      <c r="C65" s="2117"/>
      <c r="D65" s="2118">
        <v>47</v>
      </c>
      <c r="E65" s="2117"/>
      <c r="F65" s="2119" t="s">
        <v>88</v>
      </c>
      <c r="G65" s="2116"/>
    </row>
    <row r="66" spans="1:7" ht="17.45" customHeight="1">
      <c r="A66" s="2111"/>
      <c r="B66" s="2117" t="s">
        <v>89</v>
      </c>
      <c r="C66" s="2117"/>
      <c r="D66" s="2118">
        <v>48</v>
      </c>
      <c r="E66" s="2117"/>
      <c r="F66" s="2119" t="s">
        <v>90</v>
      </c>
      <c r="G66" s="2116"/>
    </row>
    <row r="67" spans="1:7" ht="17.45" customHeight="1">
      <c r="A67" s="2111"/>
      <c r="B67" s="2117" t="s">
        <v>91</v>
      </c>
      <c r="C67" s="2117"/>
      <c r="D67" s="2118">
        <v>49</v>
      </c>
      <c r="E67" s="2117"/>
      <c r="F67" s="2119" t="s">
        <v>92</v>
      </c>
      <c r="G67" s="2116"/>
    </row>
    <row r="68" spans="1:7" ht="17.45" customHeight="1">
      <c r="A68" s="2111"/>
      <c r="B68" s="2117" t="s">
        <v>93</v>
      </c>
      <c r="C68" s="2117"/>
      <c r="D68" s="2118">
        <v>50</v>
      </c>
      <c r="E68" s="2117"/>
      <c r="F68" s="2119" t="s">
        <v>94</v>
      </c>
      <c r="G68" s="2116"/>
    </row>
    <row r="69" spans="1:7" s="306" customFormat="1" ht="27" customHeight="1">
      <c r="A69" s="2133"/>
      <c r="B69" s="2105" t="s">
        <v>95</v>
      </c>
      <c r="D69" s="441"/>
      <c r="F69" s="2108" t="s">
        <v>96</v>
      </c>
      <c r="G69" s="2134"/>
    </row>
    <row r="70" spans="1:7" ht="21.2" customHeight="1">
      <c r="A70" s="2111"/>
      <c r="B70" s="2117" t="s">
        <v>97</v>
      </c>
      <c r="C70" s="2117"/>
      <c r="D70" s="2118">
        <v>51</v>
      </c>
      <c r="E70" s="2117"/>
      <c r="F70" s="2119" t="s">
        <v>98</v>
      </c>
      <c r="G70" s="2116"/>
    </row>
    <row r="71" spans="1:7" ht="17.25" customHeight="1">
      <c r="A71" s="2111"/>
      <c r="B71" s="2117" t="s">
        <v>99</v>
      </c>
      <c r="C71" s="2117"/>
      <c r="D71" s="2118">
        <v>52</v>
      </c>
      <c r="E71" s="2117"/>
      <c r="F71" s="2119" t="s">
        <v>100</v>
      </c>
      <c r="G71" s="2116"/>
    </row>
    <row r="72" spans="1:7" ht="17.25" customHeight="1">
      <c r="A72" s="2111"/>
      <c r="B72" s="2117" t="s">
        <v>101</v>
      </c>
      <c r="C72" s="2117"/>
      <c r="D72" s="2118">
        <v>53</v>
      </c>
      <c r="E72" s="2117"/>
      <c r="F72" s="2119" t="s">
        <v>102</v>
      </c>
      <c r="G72" s="2116"/>
    </row>
    <row r="73" spans="1:7" ht="17.25" customHeight="1">
      <c r="A73" s="2111"/>
      <c r="B73" s="2117" t="s">
        <v>103</v>
      </c>
      <c r="C73" s="2117"/>
      <c r="D73" s="2118">
        <v>54</v>
      </c>
      <c r="E73" s="2117"/>
      <c r="F73" s="2119" t="s">
        <v>104</v>
      </c>
      <c r="G73" s="2116"/>
    </row>
    <row r="74" spans="1:7" ht="17.25" customHeight="1">
      <c r="A74" s="2111"/>
      <c r="B74" s="2117" t="s">
        <v>105</v>
      </c>
      <c r="C74" s="2117"/>
      <c r="D74" s="2118">
        <v>55</v>
      </c>
      <c r="E74" s="2117"/>
      <c r="F74" s="2119" t="s">
        <v>106</v>
      </c>
      <c r="G74" s="2116"/>
    </row>
    <row r="75" spans="1:7" ht="21.2" customHeight="1">
      <c r="A75" s="2111"/>
      <c r="B75" s="2112" t="s">
        <v>107</v>
      </c>
      <c r="D75" s="2129"/>
      <c r="F75" s="2115" t="s">
        <v>108</v>
      </c>
      <c r="G75" s="2116"/>
    </row>
    <row r="76" spans="1:7" ht="21.2" customHeight="1">
      <c r="A76" s="2111"/>
      <c r="B76" s="2117" t="s">
        <v>109</v>
      </c>
      <c r="C76" s="2117"/>
      <c r="D76" s="2118">
        <v>56</v>
      </c>
      <c r="E76" s="2117"/>
      <c r="F76" s="2119" t="s">
        <v>110</v>
      </c>
      <c r="G76" s="2116"/>
    </row>
    <row r="77" spans="1:7" ht="17.45" customHeight="1">
      <c r="A77" s="2111"/>
      <c r="B77" s="2117" t="s">
        <v>111</v>
      </c>
      <c r="C77" s="2117"/>
      <c r="D77" s="2118">
        <v>57</v>
      </c>
      <c r="E77" s="2117"/>
      <c r="F77" s="2119" t="s">
        <v>112</v>
      </c>
      <c r="G77" s="2116"/>
    </row>
    <row r="78" spans="1:7" ht="17.45" customHeight="1">
      <c r="A78" s="2111"/>
      <c r="B78" s="2117" t="s">
        <v>113</v>
      </c>
      <c r="C78" s="2117"/>
      <c r="D78" s="2118">
        <v>58</v>
      </c>
      <c r="E78" s="2117"/>
      <c r="F78" s="2119" t="s">
        <v>114</v>
      </c>
      <c r="G78" s="2116"/>
    </row>
    <row r="79" spans="1:7" ht="17.45" customHeight="1">
      <c r="A79" s="2111"/>
      <c r="B79" s="2117" t="s">
        <v>115</v>
      </c>
      <c r="C79" s="2117"/>
      <c r="D79" s="2118">
        <v>59</v>
      </c>
      <c r="E79" s="2117"/>
      <c r="F79" s="2119" t="s">
        <v>116</v>
      </c>
      <c r="G79" s="2116"/>
    </row>
    <row r="80" spans="1:7" ht="21.2" customHeight="1">
      <c r="A80" s="2111"/>
      <c r="B80" s="2131" t="s">
        <v>117</v>
      </c>
      <c r="C80" s="2117"/>
      <c r="D80" s="2118">
        <v>60</v>
      </c>
      <c r="E80" s="2117"/>
      <c r="F80" s="2132" t="s">
        <v>118</v>
      </c>
      <c r="G80" s="2116"/>
    </row>
    <row r="81" spans="1:7" ht="9" customHeight="1" thickBot="1">
      <c r="A81" s="2125"/>
      <c r="B81" s="2126"/>
      <c r="C81" s="2126"/>
      <c r="D81" s="2126"/>
      <c r="E81" s="2126"/>
      <c r="F81" s="2126"/>
      <c r="G81" s="2128"/>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14" activePane="bottomLeft" state="frozen"/>
      <selection activeCell="B12" sqref="B12"/>
      <selection pane="bottomLeft" activeCell="B12" sqref="B12"/>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1788</v>
      </c>
      <c r="B1" s="277"/>
      <c r="C1" s="415"/>
      <c r="D1" s="415"/>
      <c r="E1" s="415"/>
      <c r="F1" s="415"/>
      <c r="G1" s="415"/>
      <c r="H1" s="415"/>
      <c r="I1" s="415"/>
      <c r="J1" s="415"/>
      <c r="K1" s="415"/>
      <c r="L1" s="415"/>
      <c r="M1" s="415"/>
      <c r="N1" s="415"/>
      <c r="O1" s="415"/>
      <c r="P1" s="415"/>
      <c r="Q1" s="415"/>
      <c r="R1" s="415"/>
      <c r="S1" s="415"/>
    </row>
    <row r="2" spans="1:20" s="1992" customFormat="1" ht="21.75" customHeight="1">
      <c r="A2" s="1444" t="s">
        <v>17</v>
      </c>
      <c r="B2" s="1444"/>
      <c r="C2" s="2012"/>
      <c r="D2" s="2012"/>
      <c r="E2" s="2012"/>
      <c r="F2" s="2012"/>
      <c r="G2" s="2012"/>
      <c r="H2" s="2012"/>
      <c r="I2" s="2012"/>
      <c r="J2" s="2012"/>
      <c r="K2" s="2012"/>
      <c r="L2" s="2012"/>
      <c r="M2" s="2012"/>
      <c r="N2" s="2012"/>
      <c r="O2" s="2012"/>
      <c r="P2" s="2012"/>
      <c r="Q2" s="2012"/>
      <c r="R2" s="2012"/>
      <c r="S2" s="2012"/>
    </row>
    <row r="3" spans="1:20" s="416" customFormat="1" ht="18">
      <c r="A3" s="277" t="s">
        <v>557</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244" t="s">
        <v>383</v>
      </c>
      <c r="B9" s="1245"/>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246"/>
      <c r="B10" s="1247"/>
      <c r="C10" s="427"/>
      <c r="D10" s="428" t="s">
        <v>565</v>
      </c>
      <c r="E10" s="1124"/>
      <c r="F10" s="424" t="s">
        <v>566</v>
      </c>
      <c r="G10" s="429"/>
      <c r="H10" s="430"/>
      <c r="I10" s="430"/>
      <c r="J10" s="430"/>
      <c r="K10" s="162" t="s">
        <v>386</v>
      </c>
      <c r="L10" s="162" t="s">
        <v>386</v>
      </c>
      <c r="M10" s="431" t="s">
        <v>567</v>
      </c>
      <c r="N10" s="181"/>
      <c r="P10" s="605" t="s">
        <v>568</v>
      </c>
      <c r="Q10" s="607"/>
      <c r="S10" s="432"/>
    </row>
    <row r="11" spans="1:20" s="404" customFormat="1" ht="31.5">
      <c r="A11" s="1246"/>
      <c r="B11" s="1247"/>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584</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customHeight="1">
      <c r="A13" s="439">
        <v>2015</v>
      </c>
      <c r="B13" s="440"/>
      <c r="C13" s="1190">
        <v>0.23333805568261445</v>
      </c>
      <c r="D13" s="1191">
        <v>0.65139281212092059</v>
      </c>
      <c r="E13" s="1190" t="s">
        <v>297</v>
      </c>
      <c r="F13" s="1190" t="s">
        <v>297</v>
      </c>
      <c r="G13" s="1192">
        <v>5.6084290967103634</v>
      </c>
      <c r="H13" s="1192">
        <v>3.6333332211713847</v>
      </c>
      <c r="I13" s="1191">
        <v>5.3541886266262075</v>
      </c>
      <c r="J13" s="1191">
        <v>6.428289315982223</v>
      </c>
      <c r="K13" s="1190">
        <v>5.0305449092351751</v>
      </c>
      <c r="L13" s="1190">
        <v>5.0165909467150973</v>
      </c>
      <c r="M13" s="787">
        <v>5.8371668170385815</v>
      </c>
      <c r="N13" s="1191">
        <v>5.2849711630080982</v>
      </c>
      <c r="O13" s="1191">
        <v>3.8227796740160742</v>
      </c>
      <c r="P13" s="1190">
        <v>5.006686436872541</v>
      </c>
      <c r="Q13" s="1191">
        <v>21.967522055244526</v>
      </c>
      <c r="R13" s="1191">
        <v>5.0887035887767338</v>
      </c>
      <c r="S13" s="787">
        <v>19.977930322904573</v>
      </c>
    </row>
    <row r="14" spans="1:20" ht="17.45" customHeight="1">
      <c r="A14" s="439">
        <v>2016</v>
      </c>
      <c r="B14" s="440"/>
      <c r="C14" s="1190">
        <v>0.22493709824148378</v>
      </c>
      <c r="D14" s="1191">
        <v>0.75888842457303718</v>
      </c>
      <c r="E14" s="1190" t="s">
        <v>297</v>
      </c>
      <c r="F14" s="1190" t="s">
        <v>297</v>
      </c>
      <c r="G14" s="1192">
        <v>7.4930062599344227</v>
      </c>
      <c r="H14" s="1192">
        <v>5.7554158042046542</v>
      </c>
      <c r="I14" s="1191">
        <v>4.4790134614266952</v>
      </c>
      <c r="J14" s="1191">
        <v>6.8304533393048228</v>
      </c>
      <c r="K14" s="1190">
        <v>5.4035814410682956</v>
      </c>
      <c r="L14" s="1190">
        <v>4.9059789118415891</v>
      </c>
      <c r="M14" s="787">
        <v>5.4598388567564609</v>
      </c>
      <c r="N14" s="1191">
        <v>5.2990133996465385</v>
      </c>
      <c r="O14" s="1191">
        <v>3.0354955251205462</v>
      </c>
      <c r="P14" s="1190">
        <v>4.7965867487438487</v>
      </c>
      <c r="Q14" s="1191">
        <v>21.984905187229913</v>
      </c>
      <c r="R14" s="1191">
        <v>4.8280412688498071</v>
      </c>
      <c r="S14" s="787">
        <v>19.714060887612629</v>
      </c>
    </row>
    <row r="15" spans="1:20" ht="17.45" customHeight="1">
      <c r="A15" s="439">
        <v>2017</v>
      </c>
      <c r="B15" s="440"/>
      <c r="C15" s="1190">
        <v>0.20952586045057611</v>
      </c>
      <c r="D15" s="1191">
        <v>1.1205502745960598</v>
      </c>
      <c r="E15" s="1190" t="s">
        <v>297</v>
      </c>
      <c r="F15" s="1190" t="s">
        <v>297</v>
      </c>
      <c r="G15" s="1192">
        <v>6.2786941600733153</v>
      </c>
      <c r="H15" s="1192">
        <v>6.40973790292845</v>
      </c>
      <c r="I15" s="1191">
        <v>5.6402067461210628</v>
      </c>
      <c r="J15" s="1191">
        <v>5.9462259099067714</v>
      </c>
      <c r="K15" s="1190">
        <v>5.9878016894142547</v>
      </c>
      <c r="L15" s="1190">
        <v>5.3558650642239076</v>
      </c>
      <c r="M15" s="787">
        <v>5.2690967533673181</v>
      </c>
      <c r="N15" s="1191">
        <v>5.5537780645503103</v>
      </c>
      <c r="O15" s="1191">
        <v>3.515380444925301</v>
      </c>
      <c r="P15" s="1190">
        <v>4.9579448832672295</v>
      </c>
      <c r="Q15" s="1191">
        <v>21.784623070182271</v>
      </c>
      <c r="R15" s="1191">
        <v>5.0056111634683429</v>
      </c>
      <c r="S15" s="787">
        <v>19.619789732555223</v>
      </c>
    </row>
    <row r="16" spans="1:20" ht="17.25" customHeight="1">
      <c r="A16" s="439">
        <v>2018</v>
      </c>
      <c r="B16" s="440"/>
      <c r="C16" s="1190">
        <v>0.21263140882932008</v>
      </c>
      <c r="D16" s="1191">
        <v>1.8078571688335989</v>
      </c>
      <c r="E16" s="1190" t="s">
        <v>297</v>
      </c>
      <c r="F16" s="1190" t="s">
        <v>297</v>
      </c>
      <c r="G16" s="1192">
        <v>6.9596411312786444</v>
      </c>
      <c r="H16" s="1192">
        <v>4.9754568684801024</v>
      </c>
      <c r="I16" s="1191">
        <v>6.5468086395199174</v>
      </c>
      <c r="J16" s="1191">
        <v>6.9965321696692326</v>
      </c>
      <c r="K16" s="1190">
        <v>6.4968899622284697</v>
      </c>
      <c r="L16" s="1190">
        <v>6.3946661590933065</v>
      </c>
      <c r="M16" s="787">
        <v>5.9250114259217828</v>
      </c>
      <c r="N16" s="1190">
        <v>6.0819650943682504</v>
      </c>
      <c r="O16" s="1191">
        <v>4.6154847048785754</v>
      </c>
      <c r="P16" s="1190">
        <v>5.0999798172974664</v>
      </c>
      <c r="Q16" s="1190">
        <v>20.033874717128793</v>
      </c>
      <c r="R16" s="1190">
        <v>5.1859576032685846</v>
      </c>
      <c r="S16" s="787">
        <v>20.22315293106638</v>
      </c>
    </row>
    <row r="17" spans="1:19" ht="17.25" customHeight="1">
      <c r="A17" s="439">
        <v>2019</v>
      </c>
      <c r="B17" s="440"/>
      <c r="C17" s="1190">
        <v>0.22551722974474736</v>
      </c>
      <c r="D17" s="1191">
        <v>1.3119383468681682</v>
      </c>
      <c r="E17" s="1190" t="s">
        <v>297</v>
      </c>
      <c r="F17" s="1190" t="s">
        <v>297</v>
      </c>
      <c r="G17" s="1192">
        <v>6.1895688736941104</v>
      </c>
      <c r="H17" s="1192">
        <v>3.6679800804031331</v>
      </c>
      <c r="I17" s="1191">
        <v>5.7778695712208137</v>
      </c>
      <c r="J17" s="1191">
        <v>6.2397380535792539</v>
      </c>
      <c r="K17" s="1190">
        <v>4.870425881317975</v>
      </c>
      <c r="L17" s="1190">
        <v>4.9698827438585482</v>
      </c>
      <c r="M17" s="787">
        <v>5.3842467801922282</v>
      </c>
      <c r="N17" s="1190">
        <v>6.2745697610232476</v>
      </c>
      <c r="O17" s="1191">
        <v>4.4980024583921283</v>
      </c>
      <c r="P17" s="1190">
        <v>4.8273501981623212</v>
      </c>
      <c r="Q17" s="1190">
        <v>20.133247002488133</v>
      </c>
      <c r="R17" s="1190">
        <v>4.9118549442238875</v>
      </c>
      <c r="S17" s="787">
        <v>21.062937414893124</v>
      </c>
    </row>
    <row r="18" spans="1:19" ht="17.25" customHeight="1">
      <c r="A18" s="439">
        <v>2020</v>
      </c>
      <c r="B18" s="440"/>
      <c r="C18" s="1190">
        <v>0.18019969020984195</v>
      </c>
      <c r="D18" s="1191">
        <v>0.93531013054641798</v>
      </c>
      <c r="E18" s="1190" t="s">
        <v>297</v>
      </c>
      <c r="F18" s="1190" t="s">
        <v>297</v>
      </c>
      <c r="G18" s="1192">
        <v>6.5754592518688817</v>
      </c>
      <c r="H18" s="1192">
        <v>0.74412034783680259</v>
      </c>
      <c r="I18" s="1191">
        <v>5.8192371040683621</v>
      </c>
      <c r="J18" s="1191">
        <v>4.9640028437515582</v>
      </c>
      <c r="K18" s="1190">
        <v>2.3988355926907561</v>
      </c>
      <c r="L18" s="1190">
        <v>3.8942418326198913</v>
      </c>
      <c r="M18" s="787">
        <v>4.9982467318756152</v>
      </c>
      <c r="N18" s="1190">
        <v>6.4753715179338984</v>
      </c>
      <c r="O18" s="1191">
        <v>3.6696935670393129</v>
      </c>
      <c r="P18" s="1190">
        <v>4.6547683515984799</v>
      </c>
      <c r="Q18" s="1190">
        <v>21.022584277041904</v>
      </c>
      <c r="R18" s="1190">
        <v>4.7801557844697697</v>
      </c>
      <c r="S18" s="787">
        <v>21.033308422760467</v>
      </c>
    </row>
    <row r="19" spans="1:19" ht="17.25" customHeight="1">
      <c r="A19" s="439">
        <v>2021</v>
      </c>
      <c r="B19" s="440"/>
      <c r="C19" s="1190">
        <v>0.14601597319041784</v>
      </c>
      <c r="D19" s="1191">
        <v>0.47320712504210705</v>
      </c>
      <c r="E19" s="1190" t="s">
        <v>297</v>
      </c>
      <c r="F19" s="1190" t="s">
        <v>297</v>
      </c>
      <c r="G19" s="1192">
        <v>3.7109389432019912</v>
      </c>
      <c r="H19" s="1192">
        <v>3.1320797313445188</v>
      </c>
      <c r="I19" s="1191">
        <v>4.8371559913613309</v>
      </c>
      <c r="J19" s="1191">
        <v>4.8243739157597831</v>
      </c>
      <c r="K19" s="1190">
        <v>4.1402030355291455</v>
      </c>
      <c r="L19" s="1190">
        <v>4.3137011735169288</v>
      </c>
      <c r="M19" s="787">
        <v>4.7731469436641074</v>
      </c>
      <c r="N19" s="1190">
        <v>4.7148228526038487</v>
      </c>
      <c r="O19" s="1191">
        <v>2.8810690320245826</v>
      </c>
      <c r="P19" s="1190">
        <v>4.1158172896093097</v>
      </c>
      <c r="Q19" s="1190">
        <v>21.158823705109828</v>
      </c>
      <c r="R19" s="1190">
        <v>4.262952108560965</v>
      </c>
      <c r="S19" s="787">
        <v>20.994593522953313</v>
      </c>
    </row>
    <row r="20" spans="1:19" ht="17.25" customHeight="1">
      <c r="A20" s="439">
        <v>2022</v>
      </c>
      <c r="B20" s="440"/>
      <c r="C20" s="1190">
        <v>0.14448258427606056</v>
      </c>
      <c r="D20" s="1191">
        <v>2.0955679129739475</v>
      </c>
      <c r="E20" s="1190" t="s">
        <v>297</v>
      </c>
      <c r="F20" s="1190" t="s">
        <v>297</v>
      </c>
      <c r="G20" s="1192">
        <v>9.048055392943045</v>
      </c>
      <c r="H20" s="1192">
        <v>8.2188039058511144</v>
      </c>
      <c r="I20" s="1191">
        <v>8.6848932188877583</v>
      </c>
      <c r="J20" s="1191">
        <v>6.9395196986049834</v>
      </c>
      <c r="K20" s="1190">
        <v>7.2582717615251395</v>
      </c>
      <c r="L20" s="1190">
        <v>7.5916729764453832</v>
      </c>
      <c r="M20" s="787">
        <v>6.1785745281554254</v>
      </c>
      <c r="N20" s="1190">
        <v>4.9191491729460308</v>
      </c>
      <c r="O20" s="1191">
        <v>2.7874547353071488</v>
      </c>
      <c r="P20" s="1190">
        <v>7.1052952269034853</v>
      </c>
      <c r="Q20" s="1190">
        <v>0.5</v>
      </c>
      <c r="R20" s="1190">
        <v>6.4415867555868376</v>
      </c>
      <c r="S20" s="787">
        <v>21.226588610781018</v>
      </c>
    </row>
    <row r="21" spans="1:19" ht="17.25" customHeight="1">
      <c r="A21" s="439">
        <v>2023</v>
      </c>
      <c r="B21" s="440"/>
      <c r="C21" s="1190">
        <f>C26</f>
        <v>0.24150972969573109</v>
      </c>
      <c r="D21" s="1191">
        <f>D26</f>
        <v>2.822144124852632</v>
      </c>
      <c r="E21" s="1190">
        <f>E26</f>
        <v>2.7478403738126236</v>
      </c>
      <c r="F21" s="1190">
        <f>F26</f>
        <v>3.069885346490846</v>
      </c>
      <c r="G21" s="1192">
        <f t="shared" ref="G21:S21" si="0">G26</f>
        <v>10.201455532143887</v>
      </c>
      <c r="H21" s="1192">
        <f t="shared" si="0"/>
        <v>7.6522539119928146</v>
      </c>
      <c r="I21" s="1191">
        <f t="shared" si="0"/>
        <v>9.3767733517956238</v>
      </c>
      <c r="J21" s="1191">
        <f t="shared" si="0"/>
        <v>10.102131798065233</v>
      </c>
      <c r="K21" s="1190">
        <f t="shared" si="0"/>
        <v>9.2667360163488048</v>
      </c>
      <c r="L21" s="1190">
        <f t="shared" si="0"/>
        <v>9.0135974950987983</v>
      </c>
      <c r="M21" s="787">
        <f t="shared" si="0"/>
        <v>5.4719484604558417</v>
      </c>
      <c r="N21" s="1190">
        <f t="shared" si="0"/>
        <v>5.6946608734369999</v>
      </c>
      <c r="O21" s="1191">
        <f t="shared" si="0"/>
        <v>8.6572655948258905</v>
      </c>
      <c r="P21" s="1190">
        <f t="shared" si="0"/>
        <v>6.1046424271657989</v>
      </c>
      <c r="Q21" s="1190">
        <f t="shared" si="0"/>
        <v>19.068049267132224</v>
      </c>
      <c r="R21" s="1190">
        <f t="shared" si="0"/>
        <v>6.1430734291067672</v>
      </c>
      <c r="S21" s="787">
        <f t="shared" si="0"/>
        <v>21.161971950465968</v>
      </c>
    </row>
    <row r="22" spans="1:19" ht="17.25" customHeight="1">
      <c r="A22" s="784">
        <v>2024</v>
      </c>
      <c r="B22" s="1100"/>
      <c r="C22" s="1104">
        <f>C30</f>
        <v>0.22379568420667423</v>
      </c>
      <c r="D22" s="1105">
        <f>D30</f>
        <v>2.3512105064979805</v>
      </c>
      <c r="E22" s="1343">
        <f t="shared" ref="E22:F22" si="1">E30</f>
        <v>2.2943258087953522</v>
      </c>
      <c r="F22" s="1104">
        <f t="shared" si="1"/>
        <v>2.2005299387286597</v>
      </c>
      <c r="G22" s="1106">
        <f t="shared" ref="G22:S22" si="2">G30</f>
        <v>6.6435635203605186</v>
      </c>
      <c r="H22" s="1106">
        <f t="shared" si="2"/>
        <v>6.5910148567563365</v>
      </c>
      <c r="I22" s="1105">
        <f t="shared" si="2"/>
        <v>6.4262486446658587</v>
      </c>
      <c r="J22" s="1105">
        <f t="shared" si="2"/>
        <v>6.5593063436582542</v>
      </c>
      <c r="K22" s="1104">
        <f t="shared" si="2"/>
        <v>6.5559913750279195</v>
      </c>
      <c r="L22" s="1104">
        <f t="shared" si="2"/>
        <v>4.5227988397944827</v>
      </c>
      <c r="M22" s="1107">
        <f t="shared" si="2"/>
        <v>5.2792130444804348</v>
      </c>
      <c r="N22" s="1104">
        <f t="shared" si="2"/>
        <v>4.8409618024466488</v>
      </c>
      <c r="O22" s="1105">
        <f t="shared" si="2"/>
        <v>6.5</v>
      </c>
      <c r="P22" s="1104">
        <f t="shared" si="2"/>
        <v>5.1498775423165402</v>
      </c>
      <c r="Q22" s="1104" t="str">
        <f t="shared" si="2"/>
        <v>N/A</v>
      </c>
      <c r="R22" s="1104">
        <f t="shared" si="2"/>
        <v>5.1575504663992779</v>
      </c>
      <c r="S22" s="1107">
        <f t="shared" si="2"/>
        <v>21.17844701143455</v>
      </c>
    </row>
    <row r="23" spans="1:19" ht="21" customHeight="1">
      <c r="A23" s="439">
        <v>2023</v>
      </c>
      <c r="B23" s="440" t="s">
        <v>243</v>
      </c>
      <c r="C23" s="1190">
        <v>0.23113580806702477</v>
      </c>
      <c r="D23" s="1191">
        <v>2.4344038875659937</v>
      </c>
      <c r="E23" s="1190">
        <v>2.7702168202456656</v>
      </c>
      <c r="F23" s="1190">
        <v>2.7399023270839864</v>
      </c>
      <c r="G23" s="1192">
        <v>9.155240865384032</v>
      </c>
      <c r="H23" s="1192">
        <v>7.6972586121093434</v>
      </c>
      <c r="I23" s="1191">
        <v>8.5285983170016912</v>
      </c>
      <c r="J23" s="1191">
        <v>7.9821812178118199</v>
      </c>
      <c r="K23" s="1190">
        <v>8.1643026763269013</v>
      </c>
      <c r="L23" s="1190">
        <v>4.7059541812382433</v>
      </c>
      <c r="M23" s="787">
        <v>5.72454647911621</v>
      </c>
      <c r="N23" s="1190">
        <v>7.3884960004199547</v>
      </c>
      <c r="O23" s="1191">
        <v>6.3164062499999991</v>
      </c>
      <c r="P23" s="1190">
        <v>6.8993184264111447</v>
      </c>
      <c r="Q23" s="1190">
        <v>8.7920590985204257</v>
      </c>
      <c r="R23" s="1190">
        <v>6.4386911970820666</v>
      </c>
      <c r="S23" s="787">
        <v>21.394156669659445</v>
      </c>
    </row>
    <row r="24" spans="1:19" ht="15.75">
      <c r="A24" s="439"/>
      <c r="B24" s="440" t="s">
        <v>244</v>
      </c>
      <c r="C24" s="1190">
        <v>0.26074154052308912</v>
      </c>
      <c r="D24" s="1191">
        <v>2.6381716451252948</v>
      </c>
      <c r="E24" s="1190">
        <v>2.9238068090019196</v>
      </c>
      <c r="F24" s="1190">
        <v>2.897000121098706</v>
      </c>
      <c r="G24" s="1192">
        <v>9.0615682129418147</v>
      </c>
      <c r="H24" s="1192">
        <v>8.1234207535097944</v>
      </c>
      <c r="I24" s="1191">
        <v>9.3237700020148022</v>
      </c>
      <c r="J24" s="1191">
        <v>7.7875084115399318</v>
      </c>
      <c r="K24" s="1190">
        <v>8.3007903648676749</v>
      </c>
      <c r="L24" s="1190">
        <v>5.0619639717302718</v>
      </c>
      <c r="M24" s="787">
        <v>5.635684807874326</v>
      </c>
      <c r="N24" s="1190">
        <v>7.2965220909625277</v>
      </c>
      <c r="O24" s="1191">
        <v>6.6260052763997832</v>
      </c>
      <c r="P24" s="1190">
        <v>6.8739041438597512</v>
      </c>
      <c r="Q24" s="1190">
        <v>11.410673361947682</v>
      </c>
      <c r="R24" s="1190">
        <v>6.5902295494915641</v>
      </c>
      <c r="S24" s="787">
        <v>21.185727932738182</v>
      </c>
    </row>
    <row r="25" spans="1:19" ht="15.75">
      <c r="A25" s="439"/>
      <c r="B25" s="440" t="s">
        <v>245</v>
      </c>
      <c r="C25" s="2013">
        <v>0.24072184542771688</v>
      </c>
      <c r="D25" s="1191">
        <v>2.5942809151048811</v>
      </c>
      <c r="E25" s="2014">
        <v>2.9438941665264351</v>
      </c>
      <c r="F25" s="1190">
        <v>2.8992131935014323</v>
      </c>
      <c r="G25" s="1192">
        <v>9.2225277769186391</v>
      </c>
      <c r="H25" s="1192">
        <v>8.2815327901595222</v>
      </c>
      <c r="I25" s="1191">
        <v>9.1275858964932084</v>
      </c>
      <c r="J25" s="1191">
        <v>10.012847689705628</v>
      </c>
      <c r="K25" s="1190">
        <v>9.2173593071697404</v>
      </c>
      <c r="L25" s="1190">
        <v>8.5097117584301323</v>
      </c>
      <c r="M25" s="787">
        <v>5.716451158173518</v>
      </c>
      <c r="N25" s="1190">
        <v>6.0590664759805417</v>
      </c>
      <c r="O25" s="1191">
        <v>6.754279943536833</v>
      </c>
      <c r="P25" s="1190">
        <v>6.4460170006810058</v>
      </c>
      <c r="Q25" s="1190">
        <v>17.822570819372523</v>
      </c>
      <c r="R25" s="1190">
        <v>6.5313595277857637</v>
      </c>
      <c r="S25" s="787">
        <v>21.114775206115912</v>
      </c>
    </row>
    <row r="26" spans="1:19" ht="15.75">
      <c r="A26" s="439"/>
      <c r="B26" s="440" t="s">
        <v>242</v>
      </c>
      <c r="C26" s="1190">
        <v>0.24150972969573109</v>
      </c>
      <c r="D26" s="1191">
        <v>2.822144124852632</v>
      </c>
      <c r="E26" s="1190">
        <v>2.7478403738126236</v>
      </c>
      <c r="F26" s="1190">
        <v>3.069885346490846</v>
      </c>
      <c r="G26" s="1192">
        <v>10.201455532143887</v>
      </c>
      <c r="H26" s="1192">
        <v>7.6522539119928146</v>
      </c>
      <c r="I26" s="1191">
        <v>9.3767733517956238</v>
      </c>
      <c r="J26" s="1191">
        <v>10.102131798065233</v>
      </c>
      <c r="K26" s="1190">
        <v>9.2667360163488048</v>
      </c>
      <c r="L26" s="1190">
        <v>9.0135974950987983</v>
      </c>
      <c r="M26" s="787">
        <v>5.4719484604558417</v>
      </c>
      <c r="N26" s="1190">
        <v>5.6946608734369999</v>
      </c>
      <c r="O26" s="1191">
        <v>8.6572655948258905</v>
      </c>
      <c r="P26" s="1190">
        <v>6.1046424271657989</v>
      </c>
      <c r="Q26" s="1190">
        <v>19.068049267132224</v>
      </c>
      <c r="R26" s="1190">
        <v>6.1430734291067672</v>
      </c>
      <c r="S26" s="787">
        <v>21.161971950465968</v>
      </c>
    </row>
    <row r="27" spans="1:19" ht="21" customHeight="1">
      <c r="A27" s="439">
        <v>2024</v>
      </c>
      <c r="B27" s="440" t="s">
        <v>243</v>
      </c>
      <c r="C27" s="1190">
        <f t="shared" ref="C27:S27" si="3">C34</f>
        <v>0.24771535484468418</v>
      </c>
      <c r="D27" s="1191">
        <f t="shared" si="3"/>
        <v>2.7970995620746799</v>
      </c>
      <c r="E27" s="1190">
        <f t="shared" si="3"/>
        <v>2.7134095028784113</v>
      </c>
      <c r="F27" s="1190">
        <f t="shared" si="3"/>
        <v>2.5006809683970253</v>
      </c>
      <c r="G27" s="1192">
        <f t="shared" si="3"/>
        <v>9.6848962736272775</v>
      </c>
      <c r="H27" s="1192">
        <f t="shared" si="3"/>
        <v>7.3398182266226435</v>
      </c>
      <c r="I27" s="1191">
        <f t="shared" si="3"/>
        <v>8.1007031629249511</v>
      </c>
      <c r="J27" s="1191">
        <f t="shared" si="3"/>
        <v>8.0664736324370292</v>
      </c>
      <c r="K27" s="1190">
        <f t="shared" si="3"/>
        <v>7.9873404919791442</v>
      </c>
      <c r="L27" s="1190">
        <f t="shared" si="3"/>
        <v>8.2143155034111945</v>
      </c>
      <c r="M27" s="787">
        <f t="shared" si="3"/>
        <v>5.5351366637407127</v>
      </c>
      <c r="N27" s="1190">
        <f t="shared" si="3"/>
        <v>4.9763216679807272</v>
      </c>
      <c r="O27" s="1191">
        <f t="shared" si="3"/>
        <v>6.2964852456687188</v>
      </c>
      <c r="P27" s="1190">
        <f t="shared" si="3"/>
        <v>5.7584515025285699</v>
      </c>
      <c r="Q27" s="1190" t="str">
        <f t="shared" si="3"/>
        <v>N/A</v>
      </c>
      <c r="R27" s="1190">
        <f t="shared" si="3"/>
        <v>5.6667197599729207</v>
      </c>
      <c r="S27" s="787">
        <f t="shared" si="3"/>
        <v>21.32199467901664</v>
      </c>
    </row>
    <row r="28" spans="1:19" ht="15" customHeight="1">
      <c r="A28" s="439"/>
      <c r="B28" s="440" t="s">
        <v>244</v>
      </c>
      <c r="C28" s="1190">
        <f t="shared" ref="C28:S28" si="4">C37</f>
        <v>0.24272999405514287</v>
      </c>
      <c r="D28" s="1191">
        <f t="shared" si="4"/>
        <v>2.9027923761985872</v>
      </c>
      <c r="E28" s="1190">
        <f t="shared" si="4"/>
        <v>2.9030375523354821</v>
      </c>
      <c r="F28" s="1190">
        <f t="shared" si="4"/>
        <v>2.8464750888559327</v>
      </c>
      <c r="G28" s="1192">
        <f t="shared" si="4"/>
        <v>8.9765769191410723</v>
      </c>
      <c r="H28" s="1192">
        <f t="shared" si="4"/>
        <v>7.4774812667894439</v>
      </c>
      <c r="I28" s="1191">
        <f t="shared" si="4"/>
        <v>7.9815791029881176</v>
      </c>
      <c r="J28" s="1191">
        <f t="shared" si="4"/>
        <v>7.0102888961826437</v>
      </c>
      <c r="K28" s="1190">
        <f t="shared" si="4"/>
        <v>7.4867725362698954</v>
      </c>
      <c r="L28" s="1190">
        <f t="shared" si="4"/>
        <v>7.740371106974429</v>
      </c>
      <c r="M28" s="787">
        <f t="shared" si="4"/>
        <v>5.4639125649547191</v>
      </c>
      <c r="N28" s="1190">
        <f t="shared" si="4"/>
        <v>5.1625901218238752</v>
      </c>
      <c r="O28" s="1191">
        <f t="shared" si="4"/>
        <v>7.1407793006678117</v>
      </c>
      <c r="P28" s="1190">
        <f t="shared" si="4"/>
        <v>5.6734408057598893</v>
      </c>
      <c r="Q28" s="1190" t="str">
        <f t="shared" si="4"/>
        <v>N/A</v>
      </c>
      <c r="R28" s="1190">
        <f t="shared" si="4"/>
        <v>5.6450008738597903</v>
      </c>
      <c r="S28" s="787">
        <f t="shared" si="4"/>
        <v>21.093956922179299</v>
      </c>
    </row>
    <row r="29" spans="1:19" ht="15" customHeight="1">
      <c r="A29" s="439"/>
      <c r="B29" s="440" t="s">
        <v>245</v>
      </c>
      <c r="C29" s="1190">
        <f t="shared" ref="C29:S29" si="5">C40</f>
        <v>0.22754359346262354</v>
      </c>
      <c r="D29" s="1191">
        <f t="shared" si="5"/>
        <v>2.7985131964226513</v>
      </c>
      <c r="E29" s="1190">
        <f t="shared" si="5"/>
        <v>2.8211868189212712</v>
      </c>
      <c r="F29" s="1190">
        <f t="shared" si="5"/>
        <v>2.4355558612611565</v>
      </c>
      <c r="G29" s="1192">
        <f t="shared" si="5"/>
        <v>8.6133540346801531</v>
      </c>
      <c r="H29" s="1192">
        <f t="shared" si="5"/>
        <v>6.4716952250856945</v>
      </c>
      <c r="I29" s="1191">
        <f t="shared" si="5"/>
        <v>8.3852994991848124</v>
      </c>
      <c r="J29" s="1191">
        <f t="shared" si="5"/>
        <v>6.2399867312672068</v>
      </c>
      <c r="K29" s="1190">
        <f t="shared" si="5"/>
        <v>6.5410420754638405</v>
      </c>
      <c r="L29" s="1190">
        <f t="shared" si="5"/>
        <v>6.9820383370264238</v>
      </c>
      <c r="M29" s="787">
        <f t="shared" si="5"/>
        <v>5.1965257087413903</v>
      </c>
      <c r="N29" s="1190">
        <f t="shared" si="5"/>
        <v>4.8353436209964924</v>
      </c>
      <c r="O29" s="1191">
        <f t="shared" si="5"/>
        <v>6.5114877402564479</v>
      </c>
      <c r="P29" s="1190">
        <f t="shared" si="5"/>
        <v>5.1856886684710002</v>
      </c>
      <c r="Q29" s="1190" t="str">
        <f t="shared" si="5"/>
        <v>N/A</v>
      </c>
      <c r="R29" s="1190">
        <f t="shared" si="5"/>
        <v>5.1826455096659263</v>
      </c>
      <c r="S29" s="787">
        <f t="shared" si="5"/>
        <v>21.163679075078477</v>
      </c>
    </row>
    <row r="30" spans="1:19" ht="15" customHeight="1">
      <c r="A30" s="784"/>
      <c r="B30" s="1100" t="s">
        <v>242</v>
      </c>
      <c r="C30" s="1104">
        <f t="shared" ref="C30:S30" si="6">C43</f>
        <v>0.22379568420667423</v>
      </c>
      <c r="D30" s="1105">
        <f t="shared" si="6"/>
        <v>2.3512105064979805</v>
      </c>
      <c r="E30" s="1104">
        <f t="shared" si="6"/>
        <v>2.2943258087953522</v>
      </c>
      <c r="F30" s="1104">
        <f t="shared" si="6"/>
        <v>2.2005299387286597</v>
      </c>
      <c r="G30" s="1106">
        <f t="shared" si="6"/>
        <v>6.6435635203605186</v>
      </c>
      <c r="H30" s="1106">
        <f t="shared" si="6"/>
        <v>6.5910148567563365</v>
      </c>
      <c r="I30" s="1105">
        <f t="shared" si="6"/>
        <v>6.4262486446658587</v>
      </c>
      <c r="J30" s="1105">
        <f t="shared" si="6"/>
        <v>6.5593063436582542</v>
      </c>
      <c r="K30" s="1104">
        <f t="shared" si="6"/>
        <v>6.5559913750279195</v>
      </c>
      <c r="L30" s="1104">
        <f t="shared" si="6"/>
        <v>4.5227988397944827</v>
      </c>
      <c r="M30" s="1107">
        <f t="shared" si="6"/>
        <v>5.2792130444804348</v>
      </c>
      <c r="N30" s="1104">
        <f t="shared" si="6"/>
        <v>4.8409618024466488</v>
      </c>
      <c r="O30" s="1105">
        <f t="shared" si="6"/>
        <v>6.5</v>
      </c>
      <c r="P30" s="1104">
        <f t="shared" si="6"/>
        <v>5.1498775423165402</v>
      </c>
      <c r="Q30" s="1104" t="str">
        <f t="shared" si="6"/>
        <v>N/A</v>
      </c>
      <c r="R30" s="1104">
        <f t="shared" si="6"/>
        <v>5.1575504663992779</v>
      </c>
      <c r="S30" s="1107">
        <f t="shared" si="6"/>
        <v>21.17844701143455</v>
      </c>
    </row>
    <row r="31" spans="1:19" ht="21" customHeight="1">
      <c r="A31" s="439">
        <v>2023</v>
      </c>
      <c r="B31" s="440" t="s">
        <v>426</v>
      </c>
      <c r="C31" s="1190">
        <v>0.24150972969573109</v>
      </c>
      <c r="D31" s="1191">
        <v>2.822144124852632</v>
      </c>
      <c r="E31" s="1191">
        <v>2.7478403738126236</v>
      </c>
      <c r="F31" s="1191">
        <v>3.069885346490846</v>
      </c>
      <c r="G31" s="1192">
        <v>10.201455532143887</v>
      </c>
      <c r="H31" s="1192">
        <v>7.6522539119928146</v>
      </c>
      <c r="I31" s="1191">
        <v>9.3767733517956238</v>
      </c>
      <c r="J31" s="1191">
        <v>10.102131798065233</v>
      </c>
      <c r="K31" s="1190">
        <v>9.2667360163488048</v>
      </c>
      <c r="L31" s="1190">
        <v>9.0135974950987983</v>
      </c>
      <c r="M31" s="787">
        <v>5.4719484604558417</v>
      </c>
      <c r="N31" s="1191">
        <v>5.6946608734369999</v>
      </c>
      <c r="O31" s="1191">
        <v>8.6572655948258905</v>
      </c>
      <c r="P31" s="787">
        <v>6.1046424271657989</v>
      </c>
      <c r="Q31" s="1191">
        <v>19.068049267132224</v>
      </c>
      <c r="R31" s="1191">
        <v>6.1430734291067672</v>
      </c>
      <c r="S31" s="787">
        <v>21.161971950465968</v>
      </c>
    </row>
    <row r="32" spans="1:19" ht="21" customHeight="1">
      <c r="A32" s="439">
        <v>2024</v>
      </c>
      <c r="B32" s="440" t="s">
        <v>427</v>
      </c>
      <c r="C32" s="1190">
        <v>0.23657581655293478</v>
      </c>
      <c r="D32" s="1191">
        <v>2.7868134761398551</v>
      </c>
      <c r="E32" s="1191">
        <v>2.753441052696759</v>
      </c>
      <c r="F32" s="1191">
        <v>2.7080718723604438</v>
      </c>
      <c r="G32" s="1192">
        <v>10.168269434278999</v>
      </c>
      <c r="H32" s="1192">
        <v>7.1103202861992543</v>
      </c>
      <c r="I32" s="1191">
        <v>8.0290412131589139</v>
      </c>
      <c r="J32" s="1191">
        <v>9.5472402738929638</v>
      </c>
      <c r="K32" s="1190">
        <v>7.9077044976760202</v>
      </c>
      <c r="L32" s="1190">
        <v>8.4518956891907973</v>
      </c>
      <c r="M32" s="787">
        <v>5.4010233355854167</v>
      </c>
      <c r="N32" s="1191">
        <v>5.0711929116268504</v>
      </c>
      <c r="O32" s="1191">
        <v>6.2865553638301988</v>
      </c>
      <c r="P32" s="787">
        <v>5.6403553286848132</v>
      </c>
      <c r="Q32" s="1191" t="s">
        <v>297</v>
      </c>
      <c r="R32" s="1191">
        <v>5.5714552377996522</v>
      </c>
      <c r="S32" s="787">
        <v>21.357360100718413</v>
      </c>
    </row>
    <row r="33" spans="1:19" ht="15.75">
      <c r="A33" s="439"/>
      <c r="B33" s="440" t="s">
        <v>416</v>
      </c>
      <c r="C33" s="1190">
        <v>0.2442192248145694</v>
      </c>
      <c r="D33" s="1191">
        <v>2.8057374022085542</v>
      </c>
      <c r="E33" s="1191">
        <v>2.7370173589032376</v>
      </c>
      <c r="F33" s="1191">
        <v>2.2844447853738084</v>
      </c>
      <c r="G33" s="1192">
        <v>9.4128501666873952</v>
      </c>
      <c r="H33" s="1192">
        <v>7.3516241949222865</v>
      </c>
      <c r="I33" s="1191">
        <v>7.6734438125497357</v>
      </c>
      <c r="J33" s="1191">
        <v>8.4997366233732414</v>
      </c>
      <c r="K33" s="1190">
        <v>8.2342855393305108</v>
      </c>
      <c r="L33" s="1190">
        <v>8.6413153390016681</v>
      </c>
      <c r="M33" s="787">
        <v>5.5349337071102704</v>
      </c>
      <c r="N33" s="1191">
        <v>5.2045077812207285</v>
      </c>
      <c r="O33" s="1191">
        <v>6.3757299436280039</v>
      </c>
      <c r="P33" s="787">
        <v>5.5779211445751082</v>
      </c>
      <c r="Q33" s="1191" t="s">
        <v>297</v>
      </c>
      <c r="R33" s="1191">
        <v>5.5615494486288517</v>
      </c>
      <c r="S33" s="787">
        <v>21.09203497457387</v>
      </c>
    </row>
    <row r="34" spans="1:19" ht="15.75">
      <c r="A34" s="439"/>
      <c r="B34" s="440" t="s">
        <v>417</v>
      </c>
      <c r="C34" s="1190">
        <v>0.24771535484468418</v>
      </c>
      <c r="D34" s="1191">
        <v>2.7970995620746799</v>
      </c>
      <c r="E34" s="1191">
        <v>2.7134095028784113</v>
      </c>
      <c r="F34" s="1191">
        <v>2.5006809683970253</v>
      </c>
      <c r="G34" s="1192">
        <v>9.6848962736272775</v>
      </c>
      <c r="H34" s="1192">
        <v>7.3398182266226435</v>
      </c>
      <c r="I34" s="1191">
        <v>8.1007031629249511</v>
      </c>
      <c r="J34" s="1191">
        <v>8.0664736324370292</v>
      </c>
      <c r="K34" s="1190">
        <v>7.9873404919791442</v>
      </c>
      <c r="L34" s="1190">
        <v>8.2143155034111945</v>
      </c>
      <c r="M34" s="787">
        <v>5.5351366637407127</v>
      </c>
      <c r="N34" s="1191">
        <v>4.9763216679807272</v>
      </c>
      <c r="O34" s="1191">
        <v>6.2964852456687188</v>
      </c>
      <c r="P34" s="787">
        <v>5.7584515025285699</v>
      </c>
      <c r="Q34" s="1191" t="s">
        <v>297</v>
      </c>
      <c r="R34" s="1191">
        <v>5.6667197599729207</v>
      </c>
      <c r="S34" s="787">
        <v>21.32199467901664</v>
      </c>
    </row>
    <row r="35" spans="1:19" ht="15.75">
      <c r="A35" s="439"/>
      <c r="B35" s="440" t="s">
        <v>418</v>
      </c>
      <c r="C35" s="1190">
        <v>0.24275831388948793</v>
      </c>
      <c r="D35" s="1191">
        <v>2.7844821687341481</v>
      </c>
      <c r="E35" s="1191">
        <v>2.3700071368024647</v>
      </c>
      <c r="F35" s="1191">
        <v>2.5859920669429655</v>
      </c>
      <c r="G35" s="1192">
        <v>8.5755601200246563</v>
      </c>
      <c r="H35" s="1192">
        <v>7.1915214182505798</v>
      </c>
      <c r="I35" s="1191">
        <v>8.3330782466972462</v>
      </c>
      <c r="J35" s="1191">
        <v>7.8071659468659256</v>
      </c>
      <c r="K35" s="1190">
        <v>7.8423361625227379</v>
      </c>
      <c r="L35" s="1190">
        <v>8.6594544155042819</v>
      </c>
      <c r="M35" s="787">
        <v>5.5119666942954462</v>
      </c>
      <c r="N35" s="1191">
        <v>5.0772108438014119</v>
      </c>
      <c r="O35" s="1191">
        <v>5.9036982291943936</v>
      </c>
      <c r="P35" s="787">
        <v>5.9327833045220597</v>
      </c>
      <c r="Q35" s="1191" t="s">
        <v>297</v>
      </c>
      <c r="R35" s="1191">
        <v>5.8261750883493582</v>
      </c>
      <c r="S35" s="787">
        <v>21.090178669434955</v>
      </c>
    </row>
    <row r="36" spans="1:19" ht="15.75">
      <c r="A36" s="439"/>
      <c r="B36" s="440" t="s">
        <v>419</v>
      </c>
      <c r="C36" s="1190">
        <v>0.24263764000394092</v>
      </c>
      <c r="D36" s="1191">
        <v>2.7899491131721814</v>
      </c>
      <c r="E36" s="1191">
        <v>2.7716080470079567</v>
      </c>
      <c r="F36" s="1191">
        <v>2.6875376631880616</v>
      </c>
      <c r="G36" s="1192">
        <v>9.4899899750349164</v>
      </c>
      <c r="H36" s="1192">
        <v>7.0389181267293282</v>
      </c>
      <c r="I36" s="1191">
        <v>8.2854312237618739</v>
      </c>
      <c r="J36" s="1191">
        <v>8.0831315812477147</v>
      </c>
      <c r="K36" s="1190">
        <v>7.9102818082503781</v>
      </c>
      <c r="L36" s="1190">
        <v>7.9115284174033667</v>
      </c>
      <c r="M36" s="787">
        <v>5.5407828500537697</v>
      </c>
      <c r="N36" s="1191">
        <v>5.7977751923694703</v>
      </c>
      <c r="O36" s="1191">
        <v>6.5105975298840679</v>
      </c>
      <c r="P36" s="787">
        <v>5.7373277355709877</v>
      </c>
      <c r="Q36" s="1191" t="s">
        <v>297</v>
      </c>
      <c r="R36" s="1191">
        <v>5.7138870434319022</v>
      </c>
      <c r="S36" s="787">
        <v>21.07899087198312</v>
      </c>
    </row>
    <row r="37" spans="1:19" ht="15.75">
      <c r="A37" s="439"/>
      <c r="B37" s="440" t="s">
        <v>420</v>
      </c>
      <c r="C37" s="1190">
        <v>0.24272999405514287</v>
      </c>
      <c r="D37" s="1191">
        <v>2.9027923761985872</v>
      </c>
      <c r="E37" s="1191">
        <v>2.9030375523354821</v>
      </c>
      <c r="F37" s="1191">
        <v>2.8464750888559327</v>
      </c>
      <c r="G37" s="1192">
        <v>8.9765769191410723</v>
      </c>
      <c r="H37" s="1192">
        <v>7.4774812667894439</v>
      </c>
      <c r="I37" s="1191">
        <v>7.9815791029881176</v>
      </c>
      <c r="J37" s="1191">
        <v>7.0102888961826437</v>
      </c>
      <c r="K37" s="1190">
        <v>7.4867725362698954</v>
      </c>
      <c r="L37" s="1190">
        <v>7.740371106974429</v>
      </c>
      <c r="M37" s="787">
        <v>5.4639125649547191</v>
      </c>
      <c r="N37" s="1191">
        <v>5.1625901218238752</v>
      </c>
      <c r="O37" s="1191">
        <v>7.1407793006678117</v>
      </c>
      <c r="P37" s="787">
        <v>5.6734408057598893</v>
      </c>
      <c r="Q37" s="1191" t="s">
        <v>297</v>
      </c>
      <c r="R37" s="1191">
        <v>5.6450008738597903</v>
      </c>
      <c r="S37" s="787">
        <v>21.093956922179299</v>
      </c>
    </row>
    <row r="38" spans="1:19" ht="15.75">
      <c r="A38" s="439"/>
      <c r="B38" s="440" t="s">
        <v>421</v>
      </c>
      <c r="C38" s="1190">
        <v>0.24497936552176364</v>
      </c>
      <c r="D38" s="1191">
        <v>2.9177936893333292</v>
      </c>
      <c r="E38" s="1191">
        <v>2.9830681145612195</v>
      </c>
      <c r="F38" s="1191">
        <v>2.8446611814858231</v>
      </c>
      <c r="G38" s="1192">
        <v>8.7867249910857232</v>
      </c>
      <c r="H38" s="1192">
        <v>6.6149356205591054</v>
      </c>
      <c r="I38" s="1191">
        <v>7.756304644433313</v>
      </c>
      <c r="J38" s="1191">
        <v>6.6616678810821064</v>
      </c>
      <c r="K38" s="1190">
        <v>6.8285475657763905</v>
      </c>
      <c r="L38" s="1190">
        <v>7.6984574891061648</v>
      </c>
      <c r="M38" s="787">
        <v>5.5058815880444323</v>
      </c>
      <c r="N38" s="1191">
        <v>4.7762290704474513</v>
      </c>
      <c r="O38" s="1191">
        <v>5.9730109290097007</v>
      </c>
      <c r="P38" s="787">
        <v>5.5059793766754757</v>
      </c>
      <c r="Q38" s="1191" t="s">
        <v>297</v>
      </c>
      <c r="R38" s="1191">
        <v>5.4965842460248515</v>
      </c>
      <c r="S38" s="787">
        <v>21.079188451898169</v>
      </c>
    </row>
    <row r="39" spans="1:19" ht="15.75">
      <c r="A39" s="439"/>
      <c r="B39" s="440" t="s">
        <v>422</v>
      </c>
      <c r="C39" s="1190">
        <v>0.24734079919579557</v>
      </c>
      <c r="D39" s="1191">
        <v>3.0662424930793621</v>
      </c>
      <c r="E39" s="1191">
        <v>3.1022037309789035</v>
      </c>
      <c r="F39" s="1191">
        <v>2.9014132501593384</v>
      </c>
      <c r="G39" s="1192">
        <v>8.9564243537513804</v>
      </c>
      <c r="H39" s="1192">
        <v>6.1330514311107898</v>
      </c>
      <c r="I39" s="1191">
        <v>8.3212045539504267</v>
      </c>
      <c r="J39" s="1191">
        <v>8.7302257197475903</v>
      </c>
      <c r="K39" s="1190">
        <v>7.4176150436713115</v>
      </c>
      <c r="L39" s="1190">
        <v>7.5888207744365603</v>
      </c>
      <c r="M39" s="787">
        <v>5.4258209804775825</v>
      </c>
      <c r="N39" s="1191">
        <v>4.8307587161092851</v>
      </c>
      <c r="O39" s="1191">
        <v>6.1733783627989265</v>
      </c>
      <c r="P39" s="787">
        <v>5.3427001494627451</v>
      </c>
      <c r="Q39" s="1191" t="s">
        <v>297</v>
      </c>
      <c r="R39" s="1191">
        <v>5.3355898056381594</v>
      </c>
      <c r="S39" s="787">
        <v>21.164729045883252</v>
      </c>
    </row>
    <row r="40" spans="1:19" ht="15.75">
      <c r="A40" s="439"/>
      <c r="B40" s="440" t="s">
        <v>423</v>
      </c>
      <c r="C40" s="1190">
        <v>0.22754359346262354</v>
      </c>
      <c r="D40" s="1191">
        <v>2.7985131964226513</v>
      </c>
      <c r="E40" s="1191">
        <v>2.8211868189212712</v>
      </c>
      <c r="F40" s="1191">
        <v>2.4355558612611565</v>
      </c>
      <c r="G40" s="1192">
        <v>8.6133540346801531</v>
      </c>
      <c r="H40" s="1192">
        <v>6.4716952250856945</v>
      </c>
      <c r="I40" s="1191">
        <v>8.3852994991848124</v>
      </c>
      <c r="J40" s="1191">
        <v>6.2399867312672068</v>
      </c>
      <c r="K40" s="1190">
        <v>6.5410420754638405</v>
      </c>
      <c r="L40" s="1190">
        <v>6.9820383370264238</v>
      </c>
      <c r="M40" s="787">
        <v>5.1965257087413903</v>
      </c>
      <c r="N40" s="1191">
        <v>4.8353436209964924</v>
      </c>
      <c r="O40" s="1191">
        <v>6.5114877402564479</v>
      </c>
      <c r="P40" s="787">
        <v>5.1856886684710002</v>
      </c>
      <c r="Q40" s="1191" t="s">
        <v>297</v>
      </c>
      <c r="R40" s="1191">
        <v>5.1826455096659263</v>
      </c>
      <c r="S40" s="787">
        <v>21.163679075078477</v>
      </c>
    </row>
    <row r="41" spans="1:19" ht="15.75">
      <c r="A41" s="439"/>
      <c r="B41" s="440" t="s">
        <v>424</v>
      </c>
      <c r="C41" s="1190">
        <v>0.22741488656015013</v>
      </c>
      <c r="D41" s="1191">
        <v>2.6111946927361926</v>
      </c>
      <c r="E41" s="1191">
        <v>2.50282171747368</v>
      </c>
      <c r="F41" s="1191">
        <v>2.2710086779174365</v>
      </c>
      <c r="G41" s="1192">
        <v>5.4284562104320999</v>
      </c>
      <c r="H41" s="1192">
        <v>5.9984844275196636</v>
      </c>
      <c r="I41" s="1191">
        <v>6.7669545707112198</v>
      </c>
      <c r="J41" s="1191">
        <v>7.1477298965725744</v>
      </c>
      <c r="K41" s="1190">
        <v>6.7120119798977926</v>
      </c>
      <c r="L41" s="1190">
        <v>7.4608286424079067</v>
      </c>
      <c r="M41" s="787">
        <v>5.4626128313840825</v>
      </c>
      <c r="N41" s="1191">
        <v>4.891167213889414</v>
      </c>
      <c r="O41" s="1191">
        <v>5.6854563615387717</v>
      </c>
      <c r="P41" s="787">
        <v>5.2605357325692337</v>
      </c>
      <c r="Q41" s="1191" t="s">
        <v>297</v>
      </c>
      <c r="R41" s="1191">
        <v>5.2710065474358538</v>
      </c>
      <c r="S41" s="787">
        <v>21.224799161521876</v>
      </c>
    </row>
    <row r="42" spans="1:19" ht="15.75">
      <c r="A42" s="439"/>
      <c r="B42" s="440" t="s">
        <v>425</v>
      </c>
      <c r="C42" s="1190">
        <v>0.2255021698794959</v>
      </c>
      <c r="D42" s="1191">
        <v>2.3663314999817291</v>
      </c>
      <c r="E42" s="1191">
        <v>2.4521161337993762</v>
      </c>
      <c r="F42" s="1191">
        <v>2.2852678200789884</v>
      </c>
      <c r="G42" s="1192">
        <v>6.5128810426701547</v>
      </c>
      <c r="H42" s="1192">
        <v>7.2599196056291087</v>
      </c>
      <c r="I42" s="1191">
        <v>6.0199935870747474</v>
      </c>
      <c r="J42" s="1191">
        <v>6.6301004237913919</v>
      </c>
      <c r="K42" s="1190">
        <v>6.8297179557439405</v>
      </c>
      <c r="L42" s="1190">
        <v>4.4996461715019915</v>
      </c>
      <c r="M42" s="787">
        <v>5.1042544439129012</v>
      </c>
      <c r="N42" s="1191">
        <v>5.2608041696989751</v>
      </c>
      <c r="O42" s="1191">
        <v>6.2492006324425295</v>
      </c>
      <c r="P42" s="787">
        <v>5.1939037169873519</v>
      </c>
      <c r="Q42" s="1191" t="s">
        <v>297</v>
      </c>
      <c r="R42" s="1191">
        <v>5.1934257012285787</v>
      </c>
      <c r="S42" s="787">
        <v>21.185542419987129</v>
      </c>
    </row>
    <row r="43" spans="1:19" ht="15.75">
      <c r="A43" s="439"/>
      <c r="B43" s="440" t="s">
        <v>426</v>
      </c>
      <c r="C43" s="1190">
        <v>0.22379568420667423</v>
      </c>
      <c r="D43" s="1191">
        <v>2.3512105064979805</v>
      </c>
      <c r="E43" s="1191">
        <v>2.2943258087953522</v>
      </c>
      <c r="F43" s="1191">
        <v>2.2005299387286597</v>
      </c>
      <c r="G43" s="1192">
        <v>6.6435635203605186</v>
      </c>
      <c r="H43" s="1192">
        <v>6.5910148567563365</v>
      </c>
      <c r="I43" s="1191">
        <v>6.4262486446658587</v>
      </c>
      <c r="J43" s="1191">
        <v>6.5593063436582542</v>
      </c>
      <c r="K43" s="1190">
        <v>6.5559913750279195</v>
      </c>
      <c r="L43" s="1190">
        <v>4.5227988397944827</v>
      </c>
      <c r="M43" s="787">
        <v>5.2792130444804348</v>
      </c>
      <c r="N43" s="1191">
        <v>4.8409618024466488</v>
      </c>
      <c r="O43" s="1191">
        <v>6.5</v>
      </c>
      <c r="P43" s="787">
        <v>5.1498775423165402</v>
      </c>
      <c r="Q43" s="1191" t="s">
        <v>297</v>
      </c>
      <c r="R43" s="1191">
        <v>5.1575504663992779</v>
      </c>
      <c r="S43" s="787">
        <v>21.17844701143455</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893"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t="s">
        <v>604</v>
      </c>
      <c r="H47" s="413"/>
      <c r="I47" s="413"/>
      <c r="J47" s="413"/>
      <c r="K47" s="413"/>
      <c r="L47" s="414"/>
      <c r="M47" s="413"/>
      <c r="N47" s="413"/>
      <c r="O47" s="413"/>
      <c r="S47" s="1125" t="s">
        <v>605</v>
      </c>
    </row>
    <row r="48" spans="1:19" s="416" customFormat="1">
      <c r="A48" s="148"/>
      <c r="H48" s="413"/>
      <c r="I48" s="413"/>
      <c r="J48" s="413"/>
      <c r="K48" s="413"/>
      <c r="L48" s="414"/>
      <c r="M48" s="413"/>
      <c r="N48" s="413"/>
      <c r="O48" s="413"/>
      <c r="S48" s="1125"/>
    </row>
    <row r="49" spans="1:19">
      <c r="A49" s="387" t="s">
        <v>606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B12" sqref="B12"/>
      <selection pane="bottomLeft" activeCell="B12" sqref="B12"/>
    </sheetView>
  </sheetViews>
  <sheetFormatPr defaultColWidth="9.140625" defaultRowHeight="15"/>
  <cols>
    <col min="1" max="1" width="3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1785</v>
      </c>
      <c r="B1" s="387"/>
      <c r="C1" s="387"/>
      <c r="D1" s="387"/>
      <c r="E1" s="387"/>
      <c r="F1" s="387"/>
      <c r="G1" s="387"/>
      <c r="H1" s="387"/>
      <c r="I1" s="387"/>
      <c r="J1" s="387"/>
      <c r="K1" s="387"/>
      <c r="L1" s="387"/>
      <c r="M1" s="387"/>
      <c r="N1" s="387"/>
      <c r="O1" s="387"/>
    </row>
    <row r="2" spans="1:16" s="1992" customFormat="1" ht="21.75" customHeight="1">
      <c r="A2" s="1444" t="s">
        <v>1786</v>
      </c>
      <c r="B2" s="1991"/>
      <c r="C2" s="1991"/>
      <c r="D2" s="1991"/>
      <c r="E2" s="1991"/>
      <c r="F2" s="1991"/>
      <c r="G2" s="1991"/>
      <c r="H2" s="1991"/>
      <c r="I2" s="1991"/>
      <c r="J2" s="1991"/>
      <c r="K2" s="1991"/>
      <c r="L2" s="1991"/>
      <c r="M2" s="1991"/>
      <c r="N2" s="1991"/>
      <c r="O2" s="1991"/>
    </row>
    <row r="3" spans="1:16" s="416" customFormat="1" ht="18">
      <c r="A3" s="277" t="s">
        <v>1787</v>
      </c>
      <c r="B3" s="387"/>
      <c r="C3" s="387"/>
      <c r="D3" s="387"/>
      <c r="E3" s="387"/>
      <c r="F3" s="387"/>
      <c r="G3" s="387"/>
      <c r="H3" s="387"/>
      <c r="I3" s="387"/>
      <c r="J3" s="387"/>
      <c r="K3" s="387"/>
      <c r="L3" s="387"/>
      <c r="M3" s="387"/>
      <c r="N3" s="387"/>
      <c r="O3" s="387"/>
    </row>
    <row r="4" spans="1:16" s="416" customFormat="1" ht="14.25" customHeight="1">
      <c r="A4" s="1993" t="s">
        <v>558</v>
      </c>
      <c r="B4" s="415"/>
      <c r="C4" s="415"/>
      <c r="D4" s="415"/>
      <c r="E4" s="415"/>
      <c r="F4" s="415"/>
      <c r="O4" s="1994" t="s">
        <v>559</v>
      </c>
    </row>
    <row r="5" spans="1:16" s="161" customFormat="1" ht="23.85" customHeight="1">
      <c r="A5" s="1467" t="s">
        <v>410</v>
      </c>
      <c r="B5" s="1995" t="s">
        <v>607</v>
      </c>
      <c r="C5" s="160"/>
      <c r="D5" s="423"/>
      <c r="E5" s="423"/>
      <c r="F5" s="160"/>
      <c r="G5" s="1996" t="s">
        <v>608</v>
      </c>
      <c r="H5" s="1995" t="s">
        <v>609</v>
      </c>
      <c r="I5" s="425"/>
      <c r="J5" s="425"/>
      <c r="K5" s="174"/>
      <c r="L5" s="426"/>
      <c r="M5" s="426"/>
      <c r="N5" s="1996" t="s">
        <v>610</v>
      </c>
      <c r="O5" s="1997" t="s">
        <v>436</v>
      </c>
    </row>
    <row r="6" spans="1:16" s="404" customFormat="1" ht="20.25" customHeight="1">
      <c r="A6" s="1472"/>
      <c r="B6" s="1998"/>
      <c r="C6" s="430"/>
      <c r="D6" s="430"/>
      <c r="E6" s="430"/>
      <c r="F6" s="1999"/>
      <c r="G6" s="2000"/>
      <c r="H6" s="431" t="s">
        <v>567</v>
      </c>
      <c r="I6" s="181"/>
      <c r="J6" s="181"/>
      <c r="K6" s="424" t="s">
        <v>568</v>
      </c>
      <c r="L6" s="607"/>
      <c r="N6" s="432"/>
      <c r="O6" s="2001"/>
    </row>
    <row r="7" spans="1:16" s="404" customFormat="1" ht="31.5">
      <c r="A7" s="1472"/>
      <c r="B7" s="433" t="s">
        <v>573</v>
      </c>
      <c r="C7" s="435" t="s">
        <v>574</v>
      </c>
      <c r="D7" s="435" t="s">
        <v>575</v>
      </c>
      <c r="E7" s="435" t="s">
        <v>396</v>
      </c>
      <c r="F7" s="435" t="s">
        <v>386</v>
      </c>
      <c r="G7" s="435" t="s">
        <v>611</v>
      </c>
      <c r="H7" s="2000" t="s">
        <v>578</v>
      </c>
      <c r="I7" s="435" t="s">
        <v>579</v>
      </c>
      <c r="J7" s="435" t="s">
        <v>580</v>
      </c>
      <c r="K7" s="435" t="s">
        <v>581</v>
      </c>
      <c r="L7" s="435" t="s">
        <v>396</v>
      </c>
      <c r="M7" s="435" t="s">
        <v>386</v>
      </c>
      <c r="N7" s="435" t="s">
        <v>582</v>
      </c>
      <c r="O7" s="2001"/>
    </row>
    <row r="8" spans="1:16" s="404" customFormat="1" ht="47.25">
      <c r="A8" s="1475"/>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2002"/>
      <c r="P8" s="438"/>
    </row>
    <row r="9" spans="1:16" ht="30.75" customHeight="1">
      <c r="A9" s="2003" t="s">
        <v>615</v>
      </c>
      <c r="B9" s="2004" t="s">
        <v>297</v>
      </c>
      <c r="C9" s="2004" t="s">
        <v>297</v>
      </c>
      <c r="D9" s="2004" t="s">
        <v>297</v>
      </c>
      <c r="E9" s="2004" t="s">
        <v>297</v>
      </c>
      <c r="F9" s="2004" t="s">
        <v>297</v>
      </c>
      <c r="G9" s="2004" t="s">
        <v>297</v>
      </c>
      <c r="H9" s="2004">
        <v>6.5</v>
      </c>
      <c r="I9" s="2004">
        <v>8.018518518518519</v>
      </c>
      <c r="J9" s="2004">
        <v>6.5</v>
      </c>
      <c r="K9" s="2004">
        <v>8.3062248995983943</v>
      </c>
      <c r="L9" s="2004" t="s">
        <v>297</v>
      </c>
      <c r="M9" s="2004">
        <v>9.5856929955290617</v>
      </c>
      <c r="N9" s="2004">
        <v>19.5</v>
      </c>
      <c r="O9" s="2005" t="s">
        <v>616</v>
      </c>
    </row>
    <row r="10" spans="1:16" ht="21.2" customHeight="1">
      <c r="A10" s="2006" t="s">
        <v>617</v>
      </c>
      <c r="B10" s="2004">
        <v>5.7984314748402275</v>
      </c>
      <c r="C10" s="2004">
        <v>9.5</v>
      </c>
      <c r="D10" s="2004">
        <v>7.5</v>
      </c>
      <c r="E10" s="2004">
        <v>6.5515543913130685</v>
      </c>
      <c r="F10" s="2004">
        <v>6.6674281011160934</v>
      </c>
      <c r="G10" s="2004" t="s">
        <v>297</v>
      </c>
      <c r="H10" s="2004">
        <v>5.2345283606283113</v>
      </c>
      <c r="I10" s="2004">
        <v>4.9095806046420138</v>
      </c>
      <c r="J10" s="2004" t="s">
        <v>297</v>
      </c>
      <c r="K10" s="2004">
        <v>4.7997033640603277</v>
      </c>
      <c r="L10" s="2004" t="s">
        <v>297</v>
      </c>
      <c r="M10" s="2004">
        <v>4.8569186884289017</v>
      </c>
      <c r="N10" s="2004" t="s">
        <v>297</v>
      </c>
      <c r="O10" s="2005" t="s">
        <v>618</v>
      </c>
    </row>
    <row r="11" spans="1:16" ht="21.2" customHeight="1">
      <c r="A11" s="2006" t="s">
        <v>619</v>
      </c>
      <c r="B11" s="2004" t="s">
        <v>297</v>
      </c>
      <c r="C11" s="2004">
        <v>5.5270355481989437</v>
      </c>
      <c r="D11" s="2004">
        <v>5.5082741166163727</v>
      </c>
      <c r="E11" s="2004">
        <v>6.3439716312056742</v>
      </c>
      <c r="F11" s="2004">
        <v>5.5236786286307948</v>
      </c>
      <c r="G11" s="2004" t="s">
        <v>297</v>
      </c>
      <c r="H11" s="2004" t="s">
        <v>297</v>
      </c>
      <c r="I11" s="2004" t="s">
        <v>297</v>
      </c>
      <c r="J11" s="2004" t="s">
        <v>297</v>
      </c>
      <c r="K11" s="2004">
        <v>8.2106359535860616</v>
      </c>
      <c r="L11" s="2004" t="s">
        <v>297</v>
      </c>
      <c r="M11" s="2004">
        <v>16.899484429930045</v>
      </c>
      <c r="N11" s="2004">
        <v>22</v>
      </c>
      <c r="O11" s="2005" t="s">
        <v>620</v>
      </c>
    </row>
    <row r="12" spans="1:16" ht="21.2" customHeight="1">
      <c r="A12" s="2006" t="s">
        <v>621</v>
      </c>
      <c r="B12" s="2004" t="s">
        <v>297</v>
      </c>
      <c r="C12" s="2004" t="s">
        <v>297</v>
      </c>
      <c r="D12" s="2004">
        <v>7.5</v>
      </c>
      <c r="E12" s="2004" t="s">
        <v>297</v>
      </c>
      <c r="F12" s="2004">
        <v>7.5</v>
      </c>
      <c r="G12" s="2004">
        <v>7.5000000000000009</v>
      </c>
      <c r="H12" s="2004" t="s">
        <v>297</v>
      </c>
      <c r="I12" s="2004" t="s">
        <v>297</v>
      </c>
      <c r="J12" s="2004" t="s">
        <v>297</v>
      </c>
      <c r="K12" s="2004" t="s">
        <v>297</v>
      </c>
      <c r="L12" s="2004" t="s">
        <v>297</v>
      </c>
      <c r="M12" s="2004" t="s">
        <v>297</v>
      </c>
      <c r="N12" s="2004" t="s">
        <v>297</v>
      </c>
      <c r="O12" s="2005" t="s">
        <v>622</v>
      </c>
    </row>
    <row r="13" spans="1:16" ht="33.950000000000003" customHeight="1">
      <c r="A13" s="2003" t="s">
        <v>623</v>
      </c>
      <c r="B13" s="2004" t="s">
        <v>297</v>
      </c>
      <c r="C13" s="2004" t="s">
        <v>297</v>
      </c>
      <c r="D13" s="2004" t="s">
        <v>297</v>
      </c>
      <c r="E13" s="2004" t="s">
        <v>297</v>
      </c>
      <c r="F13" s="2004" t="s">
        <v>297</v>
      </c>
      <c r="G13" s="2004" t="s">
        <v>297</v>
      </c>
      <c r="H13" s="2004" t="s">
        <v>297</v>
      </c>
      <c r="I13" s="2004" t="s">
        <v>297</v>
      </c>
      <c r="J13" s="2004" t="s">
        <v>297</v>
      </c>
      <c r="K13" s="2004" t="s">
        <v>297</v>
      </c>
      <c r="L13" s="2004" t="s">
        <v>297</v>
      </c>
      <c r="M13" s="2004" t="s">
        <v>297</v>
      </c>
      <c r="N13" s="2004" t="s">
        <v>297</v>
      </c>
      <c r="O13" s="2005" t="s">
        <v>624</v>
      </c>
    </row>
    <row r="14" spans="1:16" ht="21.2" customHeight="1">
      <c r="A14" s="2006" t="s">
        <v>625</v>
      </c>
      <c r="B14" s="2004" t="s">
        <v>297</v>
      </c>
      <c r="C14" s="2004" t="s">
        <v>297</v>
      </c>
      <c r="D14" s="2004" t="s">
        <v>297</v>
      </c>
      <c r="E14" s="2004" t="s">
        <v>297</v>
      </c>
      <c r="F14" s="2004" t="s">
        <v>297</v>
      </c>
      <c r="G14" s="2004" t="s">
        <v>297</v>
      </c>
      <c r="H14" s="2004" t="s">
        <v>297</v>
      </c>
      <c r="I14" s="2004" t="s">
        <v>297</v>
      </c>
      <c r="J14" s="2004" t="s">
        <v>297</v>
      </c>
      <c r="K14" s="2004" t="s">
        <v>297</v>
      </c>
      <c r="L14" s="2004" t="s">
        <v>297</v>
      </c>
      <c r="M14" s="2004" t="s">
        <v>297</v>
      </c>
      <c r="N14" s="2004" t="s">
        <v>297</v>
      </c>
      <c r="O14" s="2005" t="s">
        <v>626</v>
      </c>
    </row>
    <row r="15" spans="1:16" ht="21.2" customHeight="1">
      <c r="A15" s="2006" t="s">
        <v>627</v>
      </c>
      <c r="B15" s="2004">
        <v>7.549122599354896</v>
      </c>
      <c r="C15" s="2004" t="s">
        <v>297</v>
      </c>
      <c r="D15" s="2004">
        <v>7.8085121252871241</v>
      </c>
      <c r="E15" s="2004">
        <v>6.5926248399487832</v>
      </c>
      <c r="F15" s="2004">
        <v>6.679611630128675</v>
      </c>
      <c r="G15" s="2004">
        <v>3.2484471205510452</v>
      </c>
      <c r="H15" s="2004">
        <v>5.3233190271816877</v>
      </c>
      <c r="I15" s="2004">
        <v>4.7476151307699404</v>
      </c>
      <c r="J15" s="2004" t="s">
        <v>297</v>
      </c>
      <c r="K15" s="2004">
        <v>5.148762659819524</v>
      </c>
      <c r="L15" s="2004" t="s">
        <v>297</v>
      </c>
      <c r="M15" s="2004">
        <v>10.153388799795637</v>
      </c>
      <c r="N15" s="2004">
        <v>20.916614379038862</v>
      </c>
      <c r="O15" s="2005" t="s">
        <v>628</v>
      </c>
    </row>
    <row r="16" spans="1:16" ht="21.2" customHeight="1">
      <c r="A16" s="2006" t="s">
        <v>629</v>
      </c>
      <c r="B16" s="2004" t="s">
        <v>297</v>
      </c>
      <c r="C16" s="2004" t="s">
        <v>297</v>
      </c>
      <c r="D16" s="2004" t="s">
        <v>297</v>
      </c>
      <c r="E16" s="2004" t="s">
        <v>297</v>
      </c>
      <c r="F16" s="2004" t="s">
        <v>297</v>
      </c>
      <c r="G16" s="2004" t="s">
        <v>297</v>
      </c>
      <c r="H16" s="2004" t="s">
        <v>297</v>
      </c>
      <c r="I16" s="2004" t="s">
        <v>297</v>
      </c>
      <c r="J16" s="2004" t="s">
        <v>297</v>
      </c>
      <c r="K16" s="2004" t="s">
        <v>297</v>
      </c>
      <c r="L16" s="2004" t="s">
        <v>297</v>
      </c>
      <c r="M16" s="2004" t="s">
        <v>297</v>
      </c>
      <c r="N16" s="2004" t="s">
        <v>297</v>
      </c>
      <c r="O16" s="2005" t="s">
        <v>630</v>
      </c>
    </row>
    <row r="17" spans="1:15" ht="21.2" customHeight="1">
      <c r="A17" s="2006" t="s">
        <v>631</v>
      </c>
      <c r="B17" s="2004" t="s">
        <v>297</v>
      </c>
      <c r="C17" s="2004" t="s">
        <v>297</v>
      </c>
      <c r="D17" s="2004">
        <v>7.1945169712793735</v>
      </c>
      <c r="E17" s="2004" t="s">
        <v>297</v>
      </c>
      <c r="F17" s="2004">
        <v>7.1945169712793735</v>
      </c>
      <c r="G17" s="2004" t="s">
        <v>297</v>
      </c>
      <c r="H17" s="2004" t="s">
        <v>297</v>
      </c>
      <c r="I17" s="2004" t="s">
        <v>297</v>
      </c>
      <c r="J17" s="2004" t="s">
        <v>297</v>
      </c>
      <c r="K17" s="2004">
        <v>7.6835154025593182</v>
      </c>
      <c r="L17" s="2004" t="s">
        <v>297</v>
      </c>
      <c r="M17" s="2004">
        <v>18.129308715049469</v>
      </c>
      <c r="N17" s="2004">
        <v>22</v>
      </c>
      <c r="O17" s="2005" t="s">
        <v>632</v>
      </c>
    </row>
    <row r="18" spans="1:15" ht="21.2" customHeight="1">
      <c r="A18" s="2006" t="s">
        <v>633</v>
      </c>
      <c r="B18" s="2004" t="s">
        <v>297</v>
      </c>
      <c r="C18" s="2004">
        <v>6.5</v>
      </c>
      <c r="D18" s="2004">
        <v>4.5</v>
      </c>
      <c r="E18" s="2004" t="s">
        <v>297</v>
      </c>
      <c r="F18" s="2004">
        <v>6.3522157806819299</v>
      </c>
      <c r="G18" s="2004" t="s">
        <v>297</v>
      </c>
      <c r="H18" s="2004" t="s">
        <v>297</v>
      </c>
      <c r="I18" s="2004" t="s">
        <v>297</v>
      </c>
      <c r="J18" s="2004" t="s">
        <v>297</v>
      </c>
      <c r="K18" s="2004" t="s">
        <v>297</v>
      </c>
      <c r="L18" s="2004" t="s">
        <v>297</v>
      </c>
      <c r="M18" s="2004">
        <v>13.471232288535852</v>
      </c>
      <c r="N18" s="2004">
        <v>13.471232288535852</v>
      </c>
      <c r="O18" s="2005" t="s">
        <v>634</v>
      </c>
    </row>
    <row r="19" spans="1:15" ht="21.2" customHeight="1">
      <c r="A19" s="2006" t="s">
        <v>635</v>
      </c>
      <c r="B19" s="2004" t="s">
        <v>297</v>
      </c>
      <c r="C19" s="2004" t="s">
        <v>297</v>
      </c>
      <c r="D19" s="2004" t="s">
        <v>297</v>
      </c>
      <c r="E19" s="2004" t="s">
        <v>297</v>
      </c>
      <c r="F19" s="2004" t="s">
        <v>297</v>
      </c>
      <c r="G19" s="2004" t="s">
        <v>297</v>
      </c>
      <c r="H19" s="2004" t="s">
        <v>297</v>
      </c>
      <c r="I19" s="2004" t="s">
        <v>297</v>
      </c>
      <c r="J19" s="2004">
        <v>6.5</v>
      </c>
      <c r="K19" s="2004" t="s">
        <v>297</v>
      </c>
      <c r="L19" s="2004" t="s">
        <v>297</v>
      </c>
      <c r="M19" s="2004">
        <v>6.5</v>
      </c>
      <c r="N19" s="2004" t="s">
        <v>297</v>
      </c>
      <c r="O19" s="2005" t="s">
        <v>636</v>
      </c>
    </row>
    <row r="20" spans="1:15" ht="21.2" customHeight="1">
      <c r="A20" s="2006" t="s">
        <v>637</v>
      </c>
      <c r="B20" s="2004" t="s">
        <v>297</v>
      </c>
      <c r="C20" s="2004" t="s">
        <v>297</v>
      </c>
      <c r="D20" s="2004" t="s">
        <v>297</v>
      </c>
      <c r="E20" s="2004" t="s">
        <v>297</v>
      </c>
      <c r="F20" s="2004" t="s">
        <v>297</v>
      </c>
      <c r="G20" s="2004" t="s">
        <v>297</v>
      </c>
      <c r="H20" s="2004" t="s">
        <v>297</v>
      </c>
      <c r="I20" s="2004" t="s">
        <v>297</v>
      </c>
      <c r="J20" s="2004" t="s">
        <v>297</v>
      </c>
      <c r="K20" s="2004" t="s">
        <v>297</v>
      </c>
      <c r="L20" s="2004" t="s">
        <v>297</v>
      </c>
      <c r="M20" s="2004" t="s">
        <v>297</v>
      </c>
      <c r="N20" s="2004" t="s">
        <v>297</v>
      </c>
      <c r="O20" s="2005" t="s">
        <v>638</v>
      </c>
    </row>
    <row r="21" spans="1:15" ht="21.2" customHeight="1">
      <c r="A21" s="2006" t="s">
        <v>639</v>
      </c>
      <c r="B21" s="2004" t="s">
        <v>297</v>
      </c>
      <c r="C21" s="2004" t="s">
        <v>297</v>
      </c>
      <c r="D21" s="2004" t="s">
        <v>297</v>
      </c>
      <c r="E21" s="2004" t="s">
        <v>297</v>
      </c>
      <c r="F21" s="2004" t="s">
        <v>297</v>
      </c>
      <c r="G21" s="2004" t="s">
        <v>297</v>
      </c>
      <c r="H21" s="2004" t="s">
        <v>297</v>
      </c>
      <c r="I21" s="2004" t="s">
        <v>297</v>
      </c>
      <c r="J21" s="2004">
        <v>6.5</v>
      </c>
      <c r="K21" s="2004" t="s">
        <v>297</v>
      </c>
      <c r="L21" s="2004" t="s">
        <v>297</v>
      </c>
      <c r="M21" s="2004">
        <v>6.5</v>
      </c>
      <c r="N21" s="2004" t="s">
        <v>297</v>
      </c>
      <c r="O21" s="2005" t="s">
        <v>640</v>
      </c>
    </row>
    <row r="22" spans="1:15" ht="21.2" customHeight="1">
      <c r="A22" s="2006" t="s">
        <v>641</v>
      </c>
      <c r="B22" s="2004" t="s">
        <v>297</v>
      </c>
      <c r="C22" s="2004" t="s">
        <v>297</v>
      </c>
      <c r="D22" s="2004" t="s">
        <v>297</v>
      </c>
      <c r="E22" s="1344" t="s">
        <v>297</v>
      </c>
      <c r="F22" s="2004" t="s">
        <v>297</v>
      </c>
      <c r="G22" s="2004" t="s">
        <v>297</v>
      </c>
      <c r="H22" s="2004">
        <v>2.5</v>
      </c>
      <c r="I22" s="2004" t="s">
        <v>297</v>
      </c>
      <c r="J22" s="2004" t="s">
        <v>297</v>
      </c>
      <c r="K22" s="2004" t="s">
        <v>297</v>
      </c>
      <c r="L22" s="2004" t="s">
        <v>297</v>
      </c>
      <c r="M22" s="2004">
        <v>2.5</v>
      </c>
      <c r="N22" s="2004" t="s">
        <v>297</v>
      </c>
      <c r="O22" s="2005" t="s">
        <v>642</v>
      </c>
    </row>
    <row r="23" spans="1:15" ht="21.2" customHeight="1">
      <c r="A23" s="2006" t="s">
        <v>643</v>
      </c>
      <c r="B23" s="2004" t="s">
        <v>297</v>
      </c>
      <c r="C23" s="2004" t="s">
        <v>297</v>
      </c>
      <c r="D23" s="2004" t="s">
        <v>297</v>
      </c>
      <c r="E23" s="2004" t="s">
        <v>297</v>
      </c>
      <c r="F23" s="2004" t="s">
        <v>297</v>
      </c>
      <c r="G23" s="2004" t="s">
        <v>297</v>
      </c>
      <c r="H23" s="2004" t="s">
        <v>297</v>
      </c>
      <c r="I23" s="2004" t="s">
        <v>297</v>
      </c>
      <c r="J23" s="2004" t="s">
        <v>297</v>
      </c>
      <c r="K23" s="2004" t="s">
        <v>297</v>
      </c>
      <c r="L23" s="2004" t="s">
        <v>297</v>
      </c>
      <c r="M23" s="2004" t="s">
        <v>297</v>
      </c>
      <c r="N23" s="2004" t="s">
        <v>297</v>
      </c>
      <c r="O23" s="2005" t="s">
        <v>644</v>
      </c>
    </row>
    <row r="24" spans="1:15" ht="21.2" customHeight="1">
      <c r="A24" s="2006" t="s">
        <v>645</v>
      </c>
      <c r="B24" s="2004" t="s">
        <v>297</v>
      </c>
      <c r="C24" s="2004">
        <v>5.5079681274900398</v>
      </c>
      <c r="D24" s="2004">
        <v>7.0702113714566606</v>
      </c>
      <c r="E24" s="2004">
        <v>5.7622929606625259</v>
      </c>
      <c r="F24" s="2004">
        <v>5.9388350598944522</v>
      </c>
      <c r="G24" s="2004" t="s">
        <v>297</v>
      </c>
      <c r="H24" s="2004" t="s">
        <v>297</v>
      </c>
      <c r="I24" s="2004" t="s">
        <v>297</v>
      </c>
      <c r="J24" s="2004" t="s">
        <v>297</v>
      </c>
      <c r="K24" s="2004">
        <v>0.5</v>
      </c>
      <c r="L24" s="2004" t="s">
        <v>297</v>
      </c>
      <c r="M24" s="2004">
        <v>0.5</v>
      </c>
      <c r="N24" s="2004" t="s">
        <v>297</v>
      </c>
      <c r="O24" s="2005" t="s">
        <v>646</v>
      </c>
    </row>
    <row r="25" spans="1:15" ht="21.2" customHeight="1">
      <c r="A25" s="2006" t="s">
        <v>647</v>
      </c>
      <c r="B25" s="2004" t="s">
        <v>297</v>
      </c>
      <c r="C25" s="2004" t="s">
        <v>297</v>
      </c>
      <c r="D25" s="2004" t="s">
        <v>297</v>
      </c>
      <c r="E25" s="2004" t="s">
        <v>297</v>
      </c>
      <c r="F25" s="2004" t="s">
        <v>297</v>
      </c>
      <c r="G25" s="2004" t="s">
        <v>297</v>
      </c>
      <c r="H25" s="2004" t="s">
        <v>297</v>
      </c>
      <c r="I25" s="2004" t="s">
        <v>297</v>
      </c>
      <c r="J25" s="2004" t="s">
        <v>297</v>
      </c>
      <c r="K25" s="2004" t="s">
        <v>297</v>
      </c>
      <c r="L25" s="2004" t="s">
        <v>297</v>
      </c>
      <c r="M25" s="2004" t="s">
        <v>297</v>
      </c>
      <c r="N25" s="2004" t="s">
        <v>297</v>
      </c>
      <c r="O25" s="2005" t="s">
        <v>648</v>
      </c>
    </row>
    <row r="26" spans="1:15" ht="21.2" customHeight="1">
      <c r="A26" s="2006" t="s">
        <v>649</v>
      </c>
      <c r="B26" s="2004" t="s">
        <v>297</v>
      </c>
      <c r="C26" s="2004" t="s">
        <v>297</v>
      </c>
      <c r="D26" s="2004" t="s">
        <v>297</v>
      </c>
      <c r="E26" s="2004" t="s">
        <v>297</v>
      </c>
      <c r="F26" s="2004" t="s">
        <v>297</v>
      </c>
      <c r="G26" s="2004" t="s">
        <v>297</v>
      </c>
      <c r="H26" s="2004" t="s">
        <v>297</v>
      </c>
      <c r="I26" s="2004" t="s">
        <v>297</v>
      </c>
      <c r="J26" s="2004" t="s">
        <v>297</v>
      </c>
      <c r="K26" s="2004" t="s">
        <v>297</v>
      </c>
      <c r="L26" s="2004" t="s">
        <v>297</v>
      </c>
      <c r="M26" s="2004">
        <v>22</v>
      </c>
      <c r="N26" s="2004">
        <v>22</v>
      </c>
      <c r="O26" s="2005" t="s">
        <v>650</v>
      </c>
    </row>
    <row r="27" spans="1:15" ht="21.2" customHeight="1">
      <c r="A27" s="2006" t="s">
        <v>651</v>
      </c>
      <c r="B27" s="2004" t="s">
        <v>297</v>
      </c>
      <c r="C27" s="2004">
        <v>8.5</v>
      </c>
      <c r="D27" s="2004">
        <v>9.0721739130434784</v>
      </c>
      <c r="E27" s="2004">
        <v>9.3356336260978665</v>
      </c>
      <c r="F27" s="2004">
        <v>9.1564204263758064</v>
      </c>
      <c r="G27" s="2004" t="s">
        <v>297</v>
      </c>
      <c r="H27" s="2004" t="s">
        <v>297</v>
      </c>
      <c r="I27" s="2004" t="s">
        <v>297</v>
      </c>
      <c r="J27" s="2004" t="s">
        <v>297</v>
      </c>
      <c r="K27" s="2004" t="s">
        <v>297</v>
      </c>
      <c r="L27" s="2004" t="s">
        <v>297</v>
      </c>
      <c r="M27" s="2004" t="s">
        <v>297</v>
      </c>
      <c r="N27" s="2004" t="s">
        <v>297</v>
      </c>
      <c r="O27" s="2005" t="s">
        <v>652</v>
      </c>
    </row>
    <row r="28" spans="1:15" s="164" customFormat="1" ht="30.2" customHeight="1">
      <c r="A28" s="2007" t="s">
        <v>653</v>
      </c>
      <c r="B28" s="2008">
        <v>6.6435635203605186</v>
      </c>
      <c r="C28" s="2008">
        <v>6.5910148567563365</v>
      </c>
      <c r="D28" s="2008">
        <v>6.4262486446658587</v>
      </c>
      <c r="E28" s="2008">
        <v>6.5593063436582542</v>
      </c>
      <c r="F28" s="2008">
        <v>6.5559913750279195</v>
      </c>
      <c r="G28" s="2008">
        <v>3.2517101549743592</v>
      </c>
      <c r="H28" s="2008">
        <v>5.2792130444804348</v>
      </c>
      <c r="I28" s="2008">
        <v>4.8409618024466488</v>
      </c>
      <c r="J28" s="2008">
        <v>6.5</v>
      </c>
      <c r="K28" s="2008">
        <v>5.1498775423165402</v>
      </c>
      <c r="L28" s="2008" t="s">
        <v>297</v>
      </c>
      <c r="M28" s="2008">
        <v>5.1575504663992779</v>
      </c>
      <c r="N28" s="2008">
        <v>21.17844701143455</v>
      </c>
      <c r="O28" s="2009" t="s">
        <v>654</v>
      </c>
    </row>
    <row r="29" spans="1:15" s="306" customFormat="1" ht="20.25" customHeight="1">
      <c r="A29" s="253" t="s">
        <v>655</v>
      </c>
      <c r="B29" s="253"/>
      <c r="C29" s="253"/>
      <c r="D29" s="253"/>
      <c r="E29" s="253"/>
      <c r="F29" s="253"/>
      <c r="G29" s="253"/>
      <c r="H29" s="253"/>
      <c r="I29" s="253"/>
      <c r="J29" s="253"/>
      <c r="K29" s="253"/>
      <c r="L29" s="253"/>
      <c r="M29" s="253"/>
      <c r="N29" s="253"/>
      <c r="O29" s="1893" t="s">
        <v>656</v>
      </c>
    </row>
    <row r="30" spans="1:15" s="306" customFormat="1" ht="14.25" customHeight="1">
      <c r="A30" s="306" t="s">
        <v>657</v>
      </c>
      <c r="O30" s="305" t="s">
        <v>658</v>
      </c>
    </row>
    <row r="31" spans="1:15" s="306" customFormat="1" ht="14.25" customHeight="1">
      <c r="A31" s="306" t="s">
        <v>659</v>
      </c>
      <c r="F31" s="321"/>
      <c r="G31" s="321"/>
      <c r="O31" s="305" t="s">
        <v>660</v>
      </c>
    </row>
    <row r="32" spans="1:15" s="306" customFormat="1" ht="14.25">
      <c r="A32" s="306" t="s">
        <v>661</v>
      </c>
      <c r="O32" s="305" t="s">
        <v>662</v>
      </c>
    </row>
    <row r="33" spans="1:15" s="306" customFormat="1" ht="14.25" customHeight="1">
      <c r="A33" s="306" t="s">
        <v>663</v>
      </c>
      <c r="D33" s="441"/>
      <c r="E33" s="441"/>
      <c r="F33" s="442"/>
      <c r="G33" s="321"/>
      <c r="O33" s="305" t="s">
        <v>664</v>
      </c>
    </row>
    <row r="34" spans="1:15" s="416" customFormat="1" ht="13.7" customHeight="1">
      <c r="A34" s="306"/>
      <c r="B34" s="306"/>
      <c r="C34" s="306"/>
      <c r="D34" s="306"/>
      <c r="E34" s="413"/>
      <c r="F34" s="414"/>
      <c r="G34" s="413"/>
      <c r="H34" s="413"/>
      <c r="I34" s="413"/>
      <c r="J34" s="306"/>
      <c r="K34" s="306"/>
      <c r="L34" s="306"/>
      <c r="M34" s="306"/>
      <c r="N34" s="305"/>
      <c r="O34" s="2010"/>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2011" t="s">
        <v>665</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1" activePane="bottomLeft" state="frozen"/>
      <selection activeCell="B12" sqref="B12"/>
      <selection pane="bottomLeft" activeCell="B12" sqref="B12"/>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5703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1784</v>
      </c>
      <c r="B1" s="277"/>
      <c r="C1" s="415"/>
      <c r="D1" s="415"/>
      <c r="E1" s="415"/>
      <c r="F1" s="415"/>
      <c r="G1" s="415"/>
      <c r="H1" s="415"/>
      <c r="I1" s="415"/>
      <c r="J1" s="415"/>
      <c r="K1" s="415"/>
      <c r="L1" s="415"/>
      <c r="M1" s="415"/>
      <c r="N1" s="415"/>
      <c r="O1" s="415"/>
      <c r="P1" s="415"/>
      <c r="Q1" s="415"/>
      <c r="R1" s="415"/>
      <c r="S1" s="415"/>
    </row>
    <row r="2" spans="1:20" s="1992" customFormat="1" ht="21.75" customHeight="1">
      <c r="A2" s="1444" t="s">
        <v>21</v>
      </c>
      <c r="B2" s="1444"/>
      <c r="C2" s="2012"/>
      <c r="D2" s="2012"/>
      <c r="E2" s="2012"/>
      <c r="F2" s="2012"/>
      <c r="G2" s="2012"/>
      <c r="H2" s="2012"/>
      <c r="I2" s="2012"/>
      <c r="J2" s="2012"/>
      <c r="K2" s="2012"/>
      <c r="L2" s="2012"/>
      <c r="M2" s="2012"/>
      <c r="N2" s="2012"/>
      <c r="O2" s="2012"/>
      <c r="P2" s="2012"/>
      <c r="Q2" s="2012"/>
      <c r="R2" s="2012"/>
      <c r="S2" s="2012"/>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244" t="s">
        <v>383</v>
      </c>
      <c r="B9" s="1245"/>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246"/>
      <c r="B10" s="1247"/>
      <c r="C10" s="427"/>
      <c r="D10" s="428" t="s">
        <v>565</v>
      </c>
      <c r="E10" s="1124"/>
      <c r="F10" s="424" t="s">
        <v>566</v>
      </c>
      <c r="G10" s="429"/>
      <c r="H10" s="430"/>
      <c r="I10" s="430"/>
      <c r="J10" s="430"/>
      <c r="K10" s="162" t="s">
        <v>386</v>
      </c>
      <c r="L10" s="162" t="s">
        <v>386</v>
      </c>
      <c r="M10" s="431" t="s">
        <v>567</v>
      </c>
      <c r="N10" s="181"/>
      <c r="P10" s="605" t="s">
        <v>568</v>
      </c>
      <c r="Q10" s="607"/>
      <c r="S10" s="432"/>
    </row>
    <row r="11" spans="1:20" s="404" customFormat="1" ht="31.5">
      <c r="A11" s="1246"/>
      <c r="B11" s="1247"/>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666</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hidden="1" customHeight="1">
      <c r="A13" s="439">
        <v>2015</v>
      </c>
      <c r="B13" s="440"/>
      <c r="C13" s="1190"/>
      <c r="D13" s="1191"/>
      <c r="E13" s="1190"/>
      <c r="F13" s="1190"/>
      <c r="G13" s="1192"/>
      <c r="H13" s="1192"/>
      <c r="I13" s="1191"/>
      <c r="J13" s="1191"/>
      <c r="K13" s="1190"/>
      <c r="L13" s="1190"/>
      <c r="M13" s="787"/>
      <c r="N13" s="1191"/>
      <c r="O13" s="1191"/>
      <c r="P13" s="1190"/>
      <c r="Q13" s="1191"/>
      <c r="R13" s="1191"/>
      <c r="S13" s="787"/>
    </row>
    <row r="14" spans="1:20" ht="17.45" hidden="1" customHeight="1">
      <c r="A14" s="439">
        <v>2016</v>
      </c>
      <c r="B14" s="440"/>
      <c r="C14" s="1190"/>
      <c r="D14" s="1191"/>
      <c r="E14" s="1190"/>
      <c r="F14" s="1190"/>
      <c r="G14" s="1192"/>
      <c r="H14" s="1192"/>
      <c r="I14" s="1191"/>
      <c r="J14" s="1191"/>
      <c r="K14" s="1190"/>
      <c r="L14" s="1190"/>
      <c r="M14" s="787"/>
      <c r="N14" s="1191"/>
      <c r="O14" s="1191"/>
      <c r="P14" s="1190"/>
      <c r="Q14" s="1191"/>
      <c r="R14" s="1191"/>
      <c r="S14" s="787"/>
    </row>
    <row r="15" spans="1:20" ht="17.45" hidden="1" customHeight="1">
      <c r="A15" s="439">
        <v>2017</v>
      </c>
      <c r="B15" s="440"/>
      <c r="C15" s="1190"/>
      <c r="D15" s="1191"/>
      <c r="E15" s="1190"/>
      <c r="F15" s="1190"/>
      <c r="G15" s="1192"/>
      <c r="H15" s="1192"/>
      <c r="I15" s="1191"/>
      <c r="J15" s="1191"/>
      <c r="K15" s="1190"/>
      <c r="L15" s="1190"/>
      <c r="M15" s="787"/>
      <c r="N15" s="1191"/>
      <c r="O15" s="1191"/>
      <c r="P15" s="1190"/>
      <c r="Q15" s="1191"/>
      <c r="R15" s="1191"/>
      <c r="S15" s="787"/>
    </row>
    <row r="16" spans="1:20" ht="17.25" hidden="1" customHeight="1">
      <c r="A16" s="439">
        <v>2018</v>
      </c>
      <c r="B16" s="440"/>
      <c r="C16" s="1190"/>
      <c r="D16" s="1191"/>
      <c r="E16" s="1190"/>
      <c r="F16" s="1190"/>
      <c r="G16" s="1192"/>
      <c r="H16" s="1192"/>
      <c r="I16" s="1191"/>
      <c r="J16" s="1191"/>
      <c r="K16" s="1190"/>
      <c r="L16" s="1190"/>
      <c r="M16" s="787"/>
      <c r="N16" s="1190"/>
      <c r="O16" s="1191"/>
      <c r="P16" s="1190"/>
      <c r="Q16" s="1190"/>
      <c r="R16" s="1190"/>
      <c r="S16" s="787"/>
    </row>
    <row r="17" spans="1:19" ht="17.25" hidden="1" customHeight="1">
      <c r="A17" s="439">
        <v>2019</v>
      </c>
      <c r="B17" s="440"/>
      <c r="C17" s="1190"/>
      <c r="D17" s="1191"/>
      <c r="E17" s="1190"/>
      <c r="F17" s="1190"/>
      <c r="G17" s="1192"/>
      <c r="H17" s="1192"/>
      <c r="I17" s="1191"/>
      <c r="J17" s="1191"/>
      <c r="K17" s="1190"/>
      <c r="L17" s="1190"/>
      <c r="M17" s="787"/>
      <c r="N17" s="1190"/>
      <c r="O17" s="1191"/>
      <c r="P17" s="1190"/>
      <c r="Q17" s="1190"/>
      <c r="R17" s="1190"/>
      <c r="S17" s="787"/>
    </row>
    <row r="18" spans="1:19" ht="17.25" hidden="1" customHeight="1">
      <c r="A18" s="439">
        <v>2020</v>
      </c>
      <c r="B18" s="440"/>
      <c r="C18" s="1190"/>
      <c r="D18" s="1191"/>
      <c r="E18" s="1190"/>
      <c r="F18" s="1190"/>
      <c r="G18" s="1192"/>
      <c r="H18" s="1192"/>
      <c r="I18" s="1191"/>
      <c r="J18" s="1191"/>
      <c r="K18" s="1190"/>
      <c r="L18" s="1190"/>
      <c r="M18" s="787"/>
      <c r="N18" s="1190"/>
      <c r="O18" s="1191"/>
      <c r="P18" s="1190"/>
      <c r="Q18" s="1190"/>
      <c r="R18" s="1190"/>
      <c r="S18" s="787"/>
    </row>
    <row r="19" spans="1:19" ht="17.25" hidden="1" customHeight="1">
      <c r="A19" s="439">
        <v>2021</v>
      </c>
      <c r="B19" s="440"/>
      <c r="C19" s="1190"/>
      <c r="D19" s="1191"/>
      <c r="E19" s="1190"/>
      <c r="F19" s="1190"/>
      <c r="G19" s="1192"/>
      <c r="H19" s="1192"/>
      <c r="I19" s="1191"/>
      <c r="J19" s="1191"/>
      <c r="K19" s="1190"/>
      <c r="L19" s="1190"/>
      <c r="M19" s="787"/>
      <c r="N19" s="1190"/>
      <c r="O19" s="1191"/>
      <c r="P19" s="1190"/>
      <c r="Q19" s="1190"/>
      <c r="R19" s="1190"/>
      <c r="S19" s="787"/>
    </row>
    <row r="20" spans="1:19" ht="17.25" hidden="1" customHeight="1">
      <c r="A20" s="439">
        <v>2022</v>
      </c>
      <c r="B20" s="440"/>
      <c r="C20" s="1190" t="e">
        <v>#REF!</v>
      </c>
      <c r="D20" s="1191" t="e">
        <v>#REF!</v>
      </c>
      <c r="E20" s="1190"/>
      <c r="F20" s="1190"/>
      <c r="G20" s="1192" t="e">
        <v>#REF!</v>
      </c>
      <c r="H20" s="1192" t="e">
        <v>#REF!</v>
      </c>
      <c r="I20" s="1191" t="e">
        <v>#REF!</v>
      </c>
      <c r="J20" s="1191" t="e">
        <v>#REF!</v>
      </c>
      <c r="K20" s="1190" t="e">
        <v>#REF!</v>
      </c>
      <c r="L20" s="1190" t="e">
        <v>#REF!</v>
      </c>
      <c r="M20" s="787" t="e">
        <v>#REF!</v>
      </c>
      <c r="N20" s="1190" t="e">
        <v>#REF!</v>
      </c>
      <c r="O20" s="1191" t="e">
        <v>#REF!</v>
      </c>
      <c r="P20" s="1190" t="e">
        <v>#REF!</v>
      </c>
      <c r="Q20" s="1190" t="e">
        <v>#REF!</v>
      </c>
      <c r="R20" s="1190" t="e">
        <v>#REF!</v>
      </c>
      <c r="S20" s="787" t="e">
        <v>#REF!</v>
      </c>
    </row>
    <row r="21" spans="1:19" ht="21" customHeight="1">
      <c r="A21" s="439">
        <v>2023</v>
      </c>
      <c r="B21" s="440"/>
      <c r="C21" s="1190">
        <f t="shared" ref="C21:S21" si="0">C26</f>
        <v>3.9922758122879584E-2</v>
      </c>
      <c r="D21" s="1191">
        <f t="shared" si="0"/>
        <v>1.9625160424073045</v>
      </c>
      <c r="E21" s="1190">
        <f t="shared" si="0"/>
        <v>2.1270398517598497</v>
      </c>
      <c r="F21" s="1190">
        <f t="shared" si="0"/>
        <v>2.5030472262610517</v>
      </c>
      <c r="G21" s="1192">
        <f t="shared" si="0"/>
        <v>7.4814025081724758</v>
      </c>
      <c r="H21" s="1192">
        <f t="shared" si="0"/>
        <v>7.5055387398947966</v>
      </c>
      <c r="I21" s="1191">
        <f t="shared" si="0"/>
        <v>7.0500983053323445</v>
      </c>
      <c r="J21" s="1191">
        <f t="shared" si="0"/>
        <v>6.7962987708302292</v>
      </c>
      <c r="K21" s="1190">
        <f t="shared" si="0"/>
        <v>7.3002657373731985</v>
      </c>
      <c r="L21" s="1190">
        <f t="shared" si="0"/>
        <v>7.3073176523956391</v>
      </c>
      <c r="M21" s="787">
        <f t="shared" si="0"/>
        <v>6.7028579601038079</v>
      </c>
      <c r="N21" s="1190">
        <f t="shared" si="0"/>
        <v>6.3815433926636702</v>
      </c>
      <c r="O21" s="1191">
        <f t="shared" si="0"/>
        <v>7.0771762156946325</v>
      </c>
      <c r="P21" s="1190">
        <f t="shared" si="0"/>
        <v>6.7183556816790615</v>
      </c>
      <c r="Q21" s="1190">
        <f t="shared" si="0"/>
        <v>5.6669813013124335</v>
      </c>
      <c r="R21" s="1190">
        <f t="shared" si="0"/>
        <v>6.60436986246365</v>
      </c>
      <c r="S21" s="787">
        <f t="shared" si="0"/>
        <v>18.140051151691296</v>
      </c>
    </row>
    <row r="22" spans="1:19" ht="21" customHeight="1">
      <c r="A22" s="784">
        <v>2024</v>
      </c>
      <c r="B22" s="1100"/>
      <c r="C22" s="1104">
        <f t="shared" ref="C22:S22" si="1">C30</f>
        <v>7.1187508755291562E-2</v>
      </c>
      <c r="D22" s="1105">
        <f t="shared" si="1"/>
        <v>2.1521765513803404</v>
      </c>
      <c r="E22" s="1343">
        <f t="shared" si="1"/>
        <v>2.4762423264652726</v>
      </c>
      <c r="F22" s="1104">
        <f t="shared" si="1"/>
        <v>2.6596763745829821</v>
      </c>
      <c r="G22" s="1106">
        <f t="shared" si="1"/>
        <v>7.5514931265496266</v>
      </c>
      <c r="H22" s="1106">
        <f t="shared" si="1"/>
        <v>7.3717383780402974</v>
      </c>
      <c r="I22" s="1105">
        <f t="shared" si="1"/>
        <v>8.18285805610304</v>
      </c>
      <c r="J22" s="1105">
        <f t="shared" si="1"/>
        <v>5.5199595961827379</v>
      </c>
      <c r="K22" s="1104">
        <f t="shared" si="1"/>
        <v>6.965018645530785</v>
      </c>
      <c r="L22" s="1104">
        <f t="shared" si="1"/>
        <v>7.2284532862586603</v>
      </c>
      <c r="M22" s="1107">
        <f t="shared" si="1"/>
        <v>6.3144549429983678</v>
      </c>
      <c r="N22" s="1104">
        <f t="shared" si="1"/>
        <v>6.2113251637655731</v>
      </c>
      <c r="O22" s="1105">
        <f t="shared" si="1"/>
        <v>5.3606651043769515</v>
      </c>
      <c r="P22" s="1104">
        <f t="shared" si="1"/>
        <v>6.093350122649178</v>
      </c>
      <c r="Q22" s="1104">
        <f t="shared" si="1"/>
        <v>6.0539159623782002</v>
      </c>
      <c r="R22" s="1104">
        <f t="shared" si="1"/>
        <v>6.2433035915785213</v>
      </c>
      <c r="S22" s="1107">
        <f t="shared" si="1"/>
        <v>19.286970023009534</v>
      </c>
    </row>
    <row r="23" spans="1:19" ht="21" customHeight="1">
      <c r="A23" s="439">
        <v>2023</v>
      </c>
      <c r="B23" s="440" t="s">
        <v>243</v>
      </c>
      <c r="C23" s="1190">
        <v>4.2008023430185545E-2</v>
      </c>
      <c r="D23" s="1191">
        <v>1.9407136589493699</v>
      </c>
      <c r="E23" s="1190">
        <v>2.2744006750178407</v>
      </c>
      <c r="F23" s="1190">
        <v>2.543881552209255</v>
      </c>
      <c r="G23" s="1192">
        <v>9.5157066918974103</v>
      </c>
      <c r="H23" s="1192">
        <v>7.0914062595674814</v>
      </c>
      <c r="I23" s="1191">
        <v>6.4522914977798287</v>
      </c>
      <c r="J23" s="1191">
        <v>7.3853297131338955</v>
      </c>
      <c r="K23" s="1190">
        <v>8.6254227651718018</v>
      </c>
      <c r="L23" s="1190">
        <v>8.5367140180184631</v>
      </c>
      <c r="M23" s="787">
        <v>6.174372111998176</v>
      </c>
      <c r="N23" s="1190">
        <v>6.0475790100088407</v>
      </c>
      <c r="O23" s="1191">
        <v>5.2202092278121395</v>
      </c>
      <c r="P23" s="1190">
        <v>6.0035262877553803</v>
      </c>
      <c r="Q23" s="1190">
        <v>6.4911825445732969</v>
      </c>
      <c r="R23" s="1190">
        <v>6.0790481125644442</v>
      </c>
      <c r="S23" s="787">
        <v>18.803485082559924</v>
      </c>
    </row>
    <row r="24" spans="1:19" ht="15.75">
      <c r="A24" s="439"/>
      <c r="B24" s="440" t="s">
        <v>244</v>
      </c>
      <c r="C24" s="1190">
        <v>4.0132690606570355E-2</v>
      </c>
      <c r="D24" s="1191">
        <v>2.0024689263890876</v>
      </c>
      <c r="E24" s="1190">
        <v>2.3741155350789862</v>
      </c>
      <c r="F24" s="1190">
        <v>2.6422854015931554</v>
      </c>
      <c r="G24" s="1192">
        <v>9.0759962155194351</v>
      </c>
      <c r="H24" s="1192">
        <v>7.2085967370209989</v>
      </c>
      <c r="I24" s="1191">
        <v>7.5844378661077014</v>
      </c>
      <c r="J24" s="1191">
        <v>6.6532922798103353</v>
      </c>
      <c r="K24" s="1190">
        <v>7.6580085197356169</v>
      </c>
      <c r="L24" s="1190">
        <v>7.6540571048668866</v>
      </c>
      <c r="M24" s="787">
        <v>6.8346245964223282</v>
      </c>
      <c r="N24" s="1190">
        <v>6.4284338962669381</v>
      </c>
      <c r="O24" s="1191">
        <v>5.3345879382337182</v>
      </c>
      <c r="P24" s="1190">
        <v>5.7294421436237144</v>
      </c>
      <c r="Q24" s="1190">
        <v>6.1966171026115715</v>
      </c>
      <c r="R24" s="1190">
        <v>6.4750375585487836</v>
      </c>
      <c r="S24" s="787">
        <v>18.459134278735004</v>
      </c>
    </row>
    <row r="25" spans="1:19" ht="15.75">
      <c r="A25" s="439"/>
      <c r="B25" s="440" t="s">
        <v>245</v>
      </c>
      <c r="C25" s="1190">
        <v>4.0017306340304204E-2</v>
      </c>
      <c r="D25" s="1191">
        <v>1.8937061663129109</v>
      </c>
      <c r="E25" s="1190">
        <v>2.068170887628161</v>
      </c>
      <c r="F25" s="1190">
        <v>2.40749107088523</v>
      </c>
      <c r="G25" s="1192">
        <v>7.1171776983430082</v>
      </c>
      <c r="H25" s="1192">
        <v>8.148689982162626</v>
      </c>
      <c r="I25" s="1191">
        <v>7.2595968874124983</v>
      </c>
      <c r="J25" s="1191">
        <v>7.7269917876910963</v>
      </c>
      <c r="K25" s="1190">
        <v>7.5491822722339146</v>
      </c>
      <c r="L25" s="1190">
        <v>7.7487070951388217</v>
      </c>
      <c r="M25" s="787">
        <v>6.7608308018877148</v>
      </c>
      <c r="N25" s="1190">
        <v>6.5268291892637977</v>
      </c>
      <c r="O25" s="1191">
        <v>6.136493254606326</v>
      </c>
      <c r="P25" s="1190">
        <v>6.3765148176983057</v>
      </c>
      <c r="Q25" s="1190">
        <v>6.4352902251834392</v>
      </c>
      <c r="R25" s="1190">
        <v>6.5497275063900577</v>
      </c>
      <c r="S25" s="787">
        <v>18.097538537170166</v>
      </c>
    </row>
    <row r="26" spans="1:19" ht="15.75">
      <c r="A26" s="439"/>
      <c r="B26" s="440" t="s">
        <v>242</v>
      </c>
      <c r="C26" s="1190">
        <v>3.9922758122879584E-2</v>
      </c>
      <c r="D26" s="1191">
        <v>1.9625160424073045</v>
      </c>
      <c r="E26" s="1190">
        <v>2.1270398517598497</v>
      </c>
      <c r="F26" s="1190">
        <v>2.5030472262610517</v>
      </c>
      <c r="G26" s="1192">
        <v>7.4814025081724758</v>
      </c>
      <c r="H26" s="1192">
        <v>7.5055387398947966</v>
      </c>
      <c r="I26" s="1191">
        <v>7.0500983053323445</v>
      </c>
      <c r="J26" s="1191">
        <v>6.7962987708302292</v>
      </c>
      <c r="K26" s="1190">
        <v>7.3002657373731985</v>
      </c>
      <c r="L26" s="1190">
        <v>7.3073176523956391</v>
      </c>
      <c r="M26" s="787">
        <v>6.7028579601038079</v>
      </c>
      <c r="N26" s="1190">
        <v>6.3815433926636702</v>
      </c>
      <c r="O26" s="1191">
        <v>7.0771762156946325</v>
      </c>
      <c r="P26" s="1190">
        <v>6.7183556816790615</v>
      </c>
      <c r="Q26" s="1190">
        <v>5.6669813013124335</v>
      </c>
      <c r="R26" s="1190">
        <v>6.60436986246365</v>
      </c>
      <c r="S26" s="787">
        <v>18.140051151691296</v>
      </c>
    </row>
    <row r="27" spans="1:19" ht="21" customHeight="1">
      <c r="A27" s="439">
        <v>2024</v>
      </c>
      <c r="B27" s="440" t="s">
        <v>243</v>
      </c>
      <c r="C27" s="1190">
        <f t="shared" ref="C27:S27" si="2">C34</f>
        <v>8.4958085997100863E-2</v>
      </c>
      <c r="D27" s="1191">
        <f t="shared" si="2"/>
        <v>1.9518428731445359</v>
      </c>
      <c r="E27" s="1190">
        <f t="shared" si="2"/>
        <v>2.3707713877097483</v>
      </c>
      <c r="F27" s="1190">
        <f t="shared" si="2"/>
        <v>2.6112421572020299</v>
      </c>
      <c r="G27" s="1192">
        <f t="shared" si="2"/>
        <v>9.636669565831518</v>
      </c>
      <c r="H27" s="1192">
        <f t="shared" si="2"/>
        <v>8.2764723241968809</v>
      </c>
      <c r="I27" s="1191">
        <f t="shared" si="2"/>
        <v>8.7572780619362351</v>
      </c>
      <c r="J27" s="1191">
        <f t="shared" si="2"/>
        <v>7.0281978815186701</v>
      </c>
      <c r="K27" s="1190">
        <f t="shared" si="2"/>
        <v>8.9326785875198436</v>
      </c>
      <c r="L27" s="1190">
        <f t="shared" si="2"/>
        <v>8.8270695134484374</v>
      </c>
      <c r="M27" s="787">
        <f t="shared" si="2"/>
        <v>6.3899023294132684</v>
      </c>
      <c r="N27" s="1190">
        <f t="shared" si="2"/>
        <v>5.2980456557791014</v>
      </c>
      <c r="O27" s="1191">
        <f t="shared" si="2"/>
        <v>6.2709609038024814</v>
      </c>
      <c r="P27" s="1190">
        <f t="shared" si="2"/>
        <v>6.759153162441212</v>
      </c>
      <c r="Q27" s="1190">
        <f t="shared" si="2"/>
        <v>6.2158238337629701</v>
      </c>
      <c r="R27" s="1190">
        <f t="shared" si="2"/>
        <v>6.4249042832906085</v>
      </c>
      <c r="S27" s="787">
        <f t="shared" si="2"/>
        <v>18.323536862366613</v>
      </c>
    </row>
    <row r="28" spans="1:19" ht="15" customHeight="1">
      <c r="A28" s="439"/>
      <c r="B28" s="440" t="s">
        <v>244</v>
      </c>
      <c r="C28" s="1190">
        <f t="shared" ref="C28:S28" si="3">C37</f>
        <v>6.3561846738642125E-2</v>
      </c>
      <c r="D28" s="1191">
        <f t="shared" si="3"/>
        <v>2.6307644975444062</v>
      </c>
      <c r="E28" s="1190">
        <f t="shared" si="3"/>
        <v>3.0764328104116503</v>
      </c>
      <c r="F28" s="1190">
        <f t="shared" si="3"/>
        <v>3.3915083298106361</v>
      </c>
      <c r="G28" s="1192">
        <f t="shared" si="3"/>
        <v>7.4227782326710035</v>
      </c>
      <c r="H28" s="1192">
        <f t="shared" si="3"/>
        <v>8.2511202859824078</v>
      </c>
      <c r="I28" s="1191">
        <f t="shared" si="3"/>
        <v>8.4819789857316721</v>
      </c>
      <c r="J28" s="1191">
        <f t="shared" si="3"/>
        <v>7.897998272652389</v>
      </c>
      <c r="K28" s="1190">
        <f t="shared" si="3"/>
        <v>7.8422252915559527</v>
      </c>
      <c r="L28" s="1190">
        <f t="shared" si="3"/>
        <v>7.8534739780394638</v>
      </c>
      <c r="M28" s="787">
        <f t="shared" si="3"/>
        <v>6.5493091350163075</v>
      </c>
      <c r="N28" s="1190">
        <f t="shared" si="3"/>
        <v>5.4447831922962466</v>
      </c>
      <c r="O28" s="1191">
        <f t="shared" si="3"/>
        <v>6.4639107946288217</v>
      </c>
      <c r="P28" s="1190">
        <f t="shared" si="3"/>
        <v>5.6142392050066041</v>
      </c>
      <c r="Q28" s="1190">
        <f t="shared" si="3"/>
        <v>5.7412195287443986</v>
      </c>
      <c r="R28" s="1190">
        <f t="shared" si="3"/>
        <v>6.0888715629601142</v>
      </c>
      <c r="S28" s="787">
        <f t="shared" si="3"/>
        <v>18.242122257860469</v>
      </c>
    </row>
    <row r="29" spans="1:19" ht="15" customHeight="1">
      <c r="A29" s="439"/>
      <c r="B29" s="440" t="s">
        <v>245</v>
      </c>
      <c r="C29" s="1190">
        <f t="shared" ref="C29:S29" si="4">C40</f>
        <v>6.4474307622687022E-2</v>
      </c>
      <c r="D29" s="1191">
        <f t="shared" si="4"/>
        <v>2.4152066573456512</v>
      </c>
      <c r="E29" s="1190">
        <f t="shared" si="4"/>
        <v>2.8417616019730509</v>
      </c>
      <c r="F29" s="1190">
        <f t="shared" si="4"/>
        <v>3.1300791443375715</v>
      </c>
      <c r="G29" s="1192">
        <f t="shared" si="4"/>
        <v>8.3155421953896962</v>
      </c>
      <c r="H29" s="1192">
        <f t="shared" si="4"/>
        <v>7.8415177510941527</v>
      </c>
      <c r="I29" s="1191">
        <f t="shared" si="4"/>
        <v>7.7723115090207511</v>
      </c>
      <c r="J29" s="1191">
        <f t="shared" si="4"/>
        <v>6.7758717570512399</v>
      </c>
      <c r="K29" s="1190">
        <f t="shared" si="4"/>
        <v>7.1655782107347603</v>
      </c>
      <c r="L29" s="1190">
        <f t="shared" si="4"/>
        <v>7.2913923716361362</v>
      </c>
      <c r="M29" s="787">
        <f t="shared" si="4"/>
        <v>6.0143882255297374</v>
      </c>
      <c r="N29" s="1190">
        <f t="shared" si="4"/>
        <v>6.0616676285906284</v>
      </c>
      <c r="O29" s="1191">
        <f t="shared" si="4"/>
        <v>6.3693682988314491</v>
      </c>
      <c r="P29" s="1190">
        <f t="shared" si="4"/>
        <v>6.1591133583603561</v>
      </c>
      <c r="Q29" s="1190">
        <f t="shared" si="4"/>
        <v>6.0718797925802059</v>
      </c>
      <c r="R29" s="1190">
        <f t="shared" si="4"/>
        <v>6.2570818319298551</v>
      </c>
      <c r="S29" s="787">
        <f t="shared" si="4"/>
        <v>19.513899516001672</v>
      </c>
    </row>
    <row r="30" spans="1:19" ht="15" customHeight="1">
      <c r="A30" s="784"/>
      <c r="B30" s="1100" t="s">
        <v>242</v>
      </c>
      <c r="C30" s="1104">
        <f t="shared" ref="C30:S30" si="5">C43</f>
        <v>7.1187508755291562E-2</v>
      </c>
      <c r="D30" s="1105">
        <f t="shared" si="5"/>
        <v>2.1521765513803404</v>
      </c>
      <c r="E30" s="1104">
        <f t="shared" si="5"/>
        <v>2.4762423264652726</v>
      </c>
      <c r="F30" s="1104">
        <f t="shared" si="5"/>
        <v>2.6596763745829821</v>
      </c>
      <c r="G30" s="1106">
        <f t="shared" si="5"/>
        <v>7.5514931265496266</v>
      </c>
      <c r="H30" s="1106">
        <f t="shared" si="5"/>
        <v>7.3717383780402974</v>
      </c>
      <c r="I30" s="1105">
        <f t="shared" si="5"/>
        <v>8.18285805610304</v>
      </c>
      <c r="J30" s="1105">
        <f t="shared" si="5"/>
        <v>5.5199595961827379</v>
      </c>
      <c r="K30" s="1104">
        <f t="shared" si="5"/>
        <v>6.965018645530785</v>
      </c>
      <c r="L30" s="1104">
        <f t="shared" si="5"/>
        <v>7.2284532862586603</v>
      </c>
      <c r="M30" s="1107">
        <f t="shared" si="5"/>
        <v>6.3144549429983678</v>
      </c>
      <c r="N30" s="1104">
        <f t="shared" si="5"/>
        <v>6.2113251637655731</v>
      </c>
      <c r="O30" s="1105">
        <f t="shared" si="5"/>
        <v>5.3606651043769515</v>
      </c>
      <c r="P30" s="1104">
        <f t="shared" si="5"/>
        <v>6.093350122649178</v>
      </c>
      <c r="Q30" s="1104">
        <f t="shared" si="5"/>
        <v>6.0539159623782002</v>
      </c>
      <c r="R30" s="1104">
        <f t="shared" si="5"/>
        <v>6.2433035915785213</v>
      </c>
      <c r="S30" s="1107">
        <f t="shared" si="5"/>
        <v>19.286970023009534</v>
      </c>
    </row>
    <row r="31" spans="1:19" ht="21" customHeight="1">
      <c r="A31" s="439">
        <v>2023</v>
      </c>
      <c r="B31" s="440" t="s">
        <v>426</v>
      </c>
      <c r="C31" s="1190">
        <v>3.9922758122879584E-2</v>
      </c>
      <c r="D31" s="1191">
        <v>1.9625160424073045</v>
      </c>
      <c r="E31" s="1191">
        <v>2.1270398517598497</v>
      </c>
      <c r="F31" s="1191">
        <v>2.5030472262610517</v>
      </c>
      <c r="G31" s="1192">
        <v>7.4814025081724758</v>
      </c>
      <c r="H31" s="1192">
        <v>7.5055387398947966</v>
      </c>
      <c r="I31" s="1191">
        <v>7.0500983053323445</v>
      </c>
      <c r="J31" s="1191">
        <v>6.7962987708302292</v>
      </c>
      <c r="K31" s="1190">
        <v>7.3002657373731985</v>
      </c>
      <c r="L31" s="1190">
        <v>7.3073176523956391</v>
      </c>
      <c r="M31" s="787">
        <v>6.7028579601038079</v>
      </c>
      <c r="N31" s="1191">
        <v>6.3815433926636702</v>
      </c>
      <c r="O31" s="1191">
        <v>7.0771762156946325</v>
      </c>
      <c r="P31" s="787">
        <v>6.7183556816790615</v>
      </c>
      <c r="Q31" s="1191">
        <v>5.6669813013124335</v>
      </c>
      <c r="R31" s="1191">
        <v>6.60436986246365</v>
      </c>
      <c r="S31" s="787">
        <v>18.140051151691296</v>
      </c>
    </row>
    <row r="32" spans="1:19" ht="20.25" customHeight="1">
      <c r="A32" s="439">
        <v>2024</v>
      </c>
      <c r="B32" s="440" t="s">
        <v>427</v>
      </c>
      <c r="C32" s="1190">
        <v>8.7285721625111834E-2</v>
      </c>
      <c r="D32" s="1191">
        <v>1.9471477163405062</v>
      </c>
      <c r="E32" s="1191">
        <v>2.3722525914669288</v>
      </c>
      <c r="F32" s="1191">
        <v>2.6691896821733381</v>
      </c>
      <c r="G32" s="1192">
        <v>7.8242665438661856</v>
      </c>
      <c r="H32" s="1192">
        <v>8.5001971251918995</v>
      </c>
      <c r="I32" s="1191">
        <v>7.8965063323272906</v>
      </c>
      <c r="J32" s="1191">
        <v>7.3278110584579457</v>
      </c>
      <c r="K32" s="1190">
        <v>7.6037076621728996</v>
      </c>
      <c r="L32" s="1190">
        <v>7.7785957414902143</v>
      </c>
      <c r="M32" s="787">
        <v>6.1372925103765521</v>
      </c>
      <c r="N32" s="1191">
        <v>6.4006197021331079</v>
      </c>
      <c r="O32" s="1191">
        <v>5.4088859178031621</v>
      </c>
      <c r="P32" s="787">
        <v>7.6096184344109963</v>
      </c>
      <c r="Q32" s="1191">
        <v>6.3875126081154141</v>
      </c>
      <c r="R32" s="1191">
        <v>6.5526324145070811</v>
      </c>
      <c r="S32" s="787">
        <v>18.011676836292512</v>
      </c>
    </row>
    <row r="33" spans="1:19" ht="15.75">
      <c r="A33" s="439"/>
      <c r="B33" s="440" t="s">
        <v>416</v>
      </c>
      <c r="C33" s="1190">
        <v>8.5903310036439778E-2</v>
      </c>
      <c r="D33" s="1191">
        <v>1.9453205876429389</v>
      </c>
      <c r="E33" s="1191">
        <v>2.37655033776434</v>
      </c>
      <c r="F33" s="1191">
        <v>2.6115482113685449</v>
      </c>
      <c r="G33" s="1192">
        <v>9.6038101517751713</v>
      </c>
      <c r="H33" s="1192">
        <v>7.5240442203697357</v>
      </c>
      <c r="I33" s="1191">
        <v>7.4744822833494222</v>
      </c>
      <c r="J33" s="1191">
        <v>7.9110623938918678</v>
      </c>
      <c r="K33" s="1190">
        <v>7.8647554109431175</v>
      </c>
      <c r="L33" s="1190">
        <v>7.8992096547802086</v>
      </c>
      <c r="M33" s="787">
        <v>6.5492000727753545</v>
      </c>
      <c r="N33" s="1191">
        <v>6.4632100314393668</v>
      </c>
      <c r="O33" s="1191">
        <v>6.8656630241285246</v>
      </c>
      <c r="P33" s="787">
        <v>6.8033852604264586</v>
      </c>
      <c r="Q33" s="1191">
        <v>6.6426438060776283</v>
      </c>
      <c r="R33" s="1191">
        <v>6.760285762976622</v>
      </c>
      <c r="S33" s="787">
        <v>18.420028280485379</v>
      </c>
    </row>
    <row r="34" spans="1:19" ht="15.75">
      <c r="A34" s="439"/>
      <c r="B34" s="440" t="s">
        <v>417</v>
      </c>
      <c r="C34" s="1190">
        <v>8.4958085997100863E-2</v>
      </c>
      <c r="D34" s="1191">
        <v>1.9518428731445359</v>
      </c>
      <c r="E34" s="1191">
        <v>2.3707713877097483</v>
      </c>
      <c r="F34" s="1191">
        <v>2.6112421572020299</v>
      </c>
      <c r="G34" s="1192">
        <v>9.636669565831518</v>
      </c>
      <c r="H34" s="1192">
        <v>8.2764723241968809</v>
      </c>
      <c r="I34" s="1191">
        <v>8.7572780619362351</v>
      </c>
      <c r="J34" s="1191">
        <v>7.0281978815186701</v>
      </c>
      <c r="K34" s="1190">
        <v>8.9326785875198436</v>
      </c>
      <c r="L34" s="1190">
        <v>8.8270695134484374</v>
      </c>
      <c r="M34" s="787">
        <v>6.3899023294132684</v>
      </c>
      <c r="N34" s="1191">
        <v>5.2980456557791014</v>
      </c>
      <c r="O34" s="1191">
        <v>6.2709609038024814</v>
      </c>
      <c r="P34" s="787">
        <v>6.759153162441212</v>
      </c>
      <c r="Q34" s="1191">
        <v>6.2158238337629701</v>
      </c>
      <c r="R34" s="1191">
        <v>6.4249042832906085</v>
      </c>
      <c r="S34" s="787">
        <v>18.323536862366613</v>
      </c>
    </row>
    <row r="35" spans="1:19" ht="15.75">
      <c r="A35" s="439"/>
      <c r="B35" s="440" t="s">
        <v>418</v>
      </c>
      <c r="C35" s="1190">
        <v>6.3540978812052243E-2</v>
      </c>
      <c r="D35" s="1191">
        <v>2.0836948881318063</v>
      </c>
      <c r="E35" s="1191">
        <v>2.3763032454336308</v>
      </c>
      <c r="F35" s="1191">
        <v>2.623062846923049</v>
      </c>
      <c r="G35" s="1192">
        <v>8.6401198695399533</v>
      </c>
      <c r="H35" s="1192">
        <v>4.0562507873547995</v>
      </c>
      <c r="I35" s="1191">
        <v>8.5215290382914244</v>
      </c>
      <c r="J35" s="1191">
        <v>5.9524745316119336</v>
      </c>
      <c r="K35" s="1190">
        <v>7.7585550176661595</v>
      </c>
      <c r="L35" s="1190">
        <v>7.8191746761005474</v>
      </c>
      <c r="M35" s="787">
        <v>6.1801132186286782</v>
      </c>
      <c r="N35" s="1191">
        <v>5.0122186591510927</v>
      </c>
      <c r="O35" s="1191">
        <v>6.5611749496476115</v>
      </c>
      <c r="P35" s="787">
        <v>6.6480084160067037</v>
      </c>
      <c r="Q35" s="1191">
        <v>6.6654804637398977</v>
      </c>
      <c r="R35" s="1191">
        <v>6.4506691202033997</v>
      </c>
      <c r="S35" s="787">
        <v>18.417115009677509</v>
      </c>
    </row>
    <row r="36" spans="1:19" ht="15.75">
      <c r="A36" s="439"/>
      <c r="B36" s="440" t="s">
        <v>419</v>
      </c>
      <c r="C36" s="1190">
        <v>6.3134366482246962E-2</v>
      </c>
      <c r="D36" s="1191">
        <v>2.5783286199762898</v>
      </c>
      <c r="E36" s="1191">
        <v>3.0155395525010018</v>
      </c>
      <c r="F36" s="1191">
        <v>3.3185118552769022</v>
      </c>
      <c r="G36" s="1192">
        <v>8.1125557837196283</v>
      </c>
      <c r="H36" s="1192">
        <v>7.7090000445792661</v>
      </c>
      <c r="I36" s="1191">
        <v>8.1487765807978132</v>
      </c>
      <c r="J36" s="1191">
        <v>3.1818954688878587</v>
      </c>
      <c r="K36" s="1190">
        <v>5.6717996528257855</v>
      </c>
      <c r="L36" s="1190">
        <v>6.4144482497322892</v>
      </c>
      <c r="M36" s="787">
        <v>6.0151840832518468</v>
      </c>
      <c r="N36" s="1191">
        <v>4.8439207111351479</v>
      </c>
      <c r="O36" s="1191">
        <v>6.8490065848530701</v>
      </c>
      <c r="P36" s="787">
        <v>6.4856631090526449</v>
      </c>
      <c r="Q36" s="1191">
        <v>6.1229158430772017</v>
      </c>
      <c r="R36" s="1191">
        <v>6.2969971266828102</v>
      </c>
      <c r="S36" s="787">
        <v>19.390548407001845</v>
      </c>
    </row>
    <row r="37" spans="1:19" ht="15.75">
      <c r="A37" s="439"/>
      <c r="B37" s="440" t="s">
        <v>420</v>
      </c>
      <c r="C37" s="1190">
        <v>6.3561846738642125E-2</v>
      </c>
      <c r="D37" s="1191">
        <v>2.6307644975444062</v>
      </c>
      <c r="E37" s="1191">
        <v>3.0764328104116503</v>
      </c>
      <c r="F37" s="1191">
        <v>3.3915083298106361</v>
      </c>
      <c r="G37" s="1192">
        <v>7.4227782326710035</v>
      </c>
      <c r="H37" s="1192">
        <v>8.2511202859824078</v>
      </c>
      <c r="I37" s="1191">
        <v>8.4819789857316721</v>
      </c>
      <c r="J37" s="1191">
        <v>7.897998272652389</v>
      </c>
      <c r="K37" s="1190">
        <v>7.8422252915559527</v>
      </c>
      <c r="L37" s="1190">
        <v>7.8534739780394638</v>
      </c>
      <c r="M37" s="787">
        <v>6.5493091350163075</v>
      </c>
      <c r="N37" s="1191">
        <v>5.4447831922962466</v>
      </c>
      <c r="O37" s="1191">
        <v>6.4639107946288217</v>
      </c>
      <c r="P37" s="787">
        <v>5.6142392050066041</v>
      </c>
      <c r="Q37" s="1191">
        <v>5.7412195287443986</v>
      </c>
      <c r="R37" s="1191">
        <v>6.0888715629601142</v>
      </c>
      <c r="S37" s="787">
        <v>18.242122257860469</v>
      </c>
    </row>
    <row r="38" spans="1:19" ht="15.75">
      <c r="A38" s="439"/>
      <c r="B38" s="440" t="s">
        <v>421</v>
      </c>
      <c r="C38" s="1190">
        <v>6.330831826503594E-2</v>
      </c>
      <c r="D38" s="1191">
        <v>2.6373353948592504</v>
      </c>
      <c r="E38" s="1191">
        <v>3.0733736976088997</v>
      </c>
      <c r="F38" s="1191">
        <v>3.3758840465631685</v>
      </c>
      <c r="G38" s="1192">
        <v>8.1971339331816804</v>
      </c>
      <c r="H38" s="1192">
        <v>8.2792613133974484</v>
      </c>
      <c r="I38" s="1191">
        <v>8.5406097621687422</v>
      </c>
      <c r="J38" s="1191">
        <v>8.481172633302851</v>
      </c>
      <c r="K38" s="1190">
        <v>8.4580788006172689</v>
      </c>
      <c r="L38" s="1190">
        <v>8.4621524896226603</v>
      </c>
      <c r="M38" s="787">
        <v>6.5459906543150712</v>
      </c>
      <c r="N38" s="1191">
        <v>5.6634502478271918</v>
      </c>
      <c r="O38" s="1191">
        <v>9.6359017445523723</v>
      </c>
      <c r="P38" s="787">
        <v>6.12845029722817</v>
      </c>
      <c r="Q38" s="1191">
        <v>5.9849612205493692</v>
      </c>
      <c r="R38" s="1191">
        <v>6.5375403506502501</v>
      </c>
      <c r="S38" s="787">
        <v>19.352703108238622</v>
      </c>
    </row>
    <row r="39" spans="1:19" ht="15.75">
      <c r="A39" s="439"/>
      <c r="B39" s="440" t="s">
        <v>422</v>
      </c>
      <c r="C39" s="1190">
        <v>8.5584972805129764E-2</v>
      </c>
      <c r="D39" s="1191">
        <v>2.6346036650686186</v>
      </c>
      <c r="E39" s="1191">
        <v>3.0719870714089574</v>
      </c>
      <c r="F39" s="1191">
        <v>3.3755396074276609</v>
      </c>
      <c r="G39" s="1192">
        <v>7.9943327417745671</v>
      </c>
      <c r="H39" s="1192">
        <v>8.3172090206451195</v>
      </c>
      <c r="I39" s="1191">
        <v>8.1429849151854619</v>
      </c>
      <c r="J39" s="1191">
        <v>6.2618583719548271</v>
      </c>
      <c r="K39" s="1190">
        <v>7.3752423951287227</v>
      </c>
      <c r="L39" s="1190">
        <v>7.4739584101340384</v>
      </c>
      <c r="M39" s="787">
        <v>6.1841286744131274</v>
      </c>
      <c r="N39" s="1191">
        <v>6.0762298246008779</v>
      </c>
      <c r="O39" s="1191">
        <v>5.9539155966300816</v>
      </c>
      <c r="P39" s="787">
        <v>6.2379138988803149</v>
      </c>
      <c r="Q39" s="1191">
        <v>5.8754129590023627</v>
      </c>
      <c r="R39" s="1191">
        <v>6.1999455889752015</v>
      </c>
      <c r="S39" s="787">
        <v>19.405971211394174</v>
      </c>
    </row>
    <row r="40" spans="1:19" ht="15.75">
      <c r="A40" s="439"/>
      <c r="B40" s="440" t="s">
        <v>423</v>
      </c>
      <c r="C40" s="1190">
        <v>6.4474307622687022E-2</v>
      </c>
      <c r="D40" s="1191">
        <v>2.4152066573456512</v>
      </c>
      <c r="E40" s="1191">
        <v>2.8417616019730509</v>
      </c>
      <c r="F40" s="1191">
        <v>3.1300791443375715</v>
      </c>
      <c r="G40" s="1192">
        <v>8.3155421953896962</v>
      </c>
      <c r="H40" s="1192">
        <v>7.8415177510941527</v>
      </c>
      <c r="I40" s="1191">
        <v>7.7723115090207511</v>
      </c>
      <c r="J40" s="1191">
        <v>6.7758717570512399</v>
      </c>
      <c r="K40" s="1190">
        <v>7.1655782107347603</v>
      </c>
      <c r="L40" s="1190">
        <v>7.2913923716361362</v>
      </c>
      <c r="M40" s="787">
        <v>6.0143882255297374</v>
      </c>
      <c r="N40" s="1191">
        <v>6.0616676285906284</v>
      </c>
      <c r="O40" s="1191">
        <v>6.3693682988314491</v>
      </c>
      <c r="P40" s="787">
        <v>6.1591133583603561</v>
      </c>
      <c r="Q40" s="1191">
        <v>6.0718797925802059</v>
      </c>
      <c r="R40" s="1191">
        <v>6.2570818319298551</v>
      </c>
      <c r="S40" s="787">
        <v>19.513899516001672</v>
      </c>
    </row>
    <row r="41" spans="1:19" ht="15.75">
      <c r="A41" s="439"/>
      <c r="B41" s="440" t="s">
        <v>424</v>
      </c>
      <c r="C41" s="1190">
        <v>7.0639721850285803E-2</v>
      </c>
      <c r="D41" s="1191">
        <v>2.3200518603407612</v>
      </c>
      <c r="E41" s="1191">
        <v>2.5939598058370952</v>
      </c>
      <c r="F41" s="1191">
        <v>2.8655662821619865</v>
      </c>
      <c r="G41" s="1192">
        <v>7.9605712501342296</v>
      </c>
      <c r="H41" s="1192">
        <v>6.2276092596593582</v>
      </c>
      <c r="I41" s="1191">
        <v>7.2862685285759188</v>
      </c>
      <c r="J41" s="1191">
        <v>7.3570591108506003</v>
      </c>
      <c r="K41" s="1190">
        <v>7.42728041288958</v>
      </c>
      <c r="L41" s="1190">
        <v>7.4426568087929139</v>
      </c>
      <c r="M41" s="787">
        <v>5.5155140182392151</v>
      </c>
      <c r="N41" s="1191">
        <v>6.0364598717976286</v>
      </c>
      <c r="O41" s="1191">
        <v>5.5992603429886865</v>
      </c>
      <c r="P41" s="787">
        <v>6.449026718371818</v>
      </c>
      <c r="Q41" s="1191">
        <v>5.9597833895731052</v>
      </c>
      <c r="R41" s="1191">
        <v>6.2123294705250798</v>
      </c>
      <c r="S41" s="787">
        <v>19.445228090645703</v>
      </c>
    </row>
    <row r="42" spans="1:19" ht="15.75">
      <c r="A42" s="439"/>
      <c r="B42" s="440" t="s">
        <v>425</v>
      </c>
      <c r="C42" s="1190">
        <v>7.074630482806793E-2</v>
      </c>
      <c r="D42" s="1191">
        <v>2.2061785525177067</v>
      </c>
      <c r="E42" s="1191">
        <v>2.540581894883077</v>
      </c>
      <c r="F42" s="1191">
        <v>2.7612582978118221</v>
      </c>
      <c r="G42" s="1192">
        <v>7.4500858523205116</v>
      </c>
      <c r="H42" s="1192">
        <v>8.5495923940483252</v>
      </c>
      <c r="I42" s="1191">
        <v>8.3781903626501055</v>
      </c>
      <c r="J42" s="1191">
        <v>4.2631328635076668</v>
      </c>
      <c r="K42" s="1190">
        <v>6.4451391326542531</v>
      </c>
      <c r="L42" s="1190">
        <v>6.6258103094493581</v>
      </c>
      <c r="M42" s="787">
        <v>5.1426580147292578</v>
      </c>
      <c r="N42" s="1191">
        <v>5.6569613734341448</v>
      </c>
      <c r="O42" s="1191">
        <v>5.7925777945422823</v>
      </c>
      <c r="P42" s="787">
        <v>6.0946086780746489</v>
      </c>
      <c r="Q42" s="1191">
        <v>5.7046448782633945</v>
      </c>
      <c r="R42" s="1191">
        <v>5.9014541092175294</v>
      </c>
      <c r="S42" s="787">
        <v>19.470975266613941</v>
      </c>
    </row>
    <row r="43" spans="1:19" ht="15.75">
      <c r="A43" s="439"/>
      <c r="B43" s="440" t="s">
        <v>426</v>
      </c>
      <c r="C43" s="1190">
        <v>7.1187508755291562E-2</v>
      </c>
      <c r="D43" s="1191">
        <v>2.1521765513803404</v>
      </c>
      <c r="E43" s="1191">
        <v>2.4762423264652726</v>
      </c>
      <c r="F43" s="1191">
        <v>2.6596763745829821</v>
      </c>
      <c r="G43" s="1192">
        <v>7.5514931265496266</v>
      </c>
      <c r="H43" s="1192">
        <v>7.3717383780402974</v>
      </c>
      <c r="I43" s="1191">
        <v>8.18285805610304</v>
      </c>
      <c r="J43" s="1191">
        <v>5.5199595961827379</v>
      </c>
      <c r="K43" s="1190">
        <v>6.965018645530785</v>
      </c>
      <c r="L43" s="1190">
        <v>7.2284532862586603</v>
      </c>
      <c r="M43" s="787">
        <v>6.3144549429983678</v>
      </c>
      <c r="N43" s="1191">
        <v>6.2113251637655731</v>
      </c>
      <c r="O43" s="1191">
        <v>5.3606651043769515</v>
      </c>
      <c r="P43" s="787">
        <v>6.093350122649178</v>
      </c>
      <c r="Q43" s="1191">
        <v>6.0539159623782002</v>
      </c>
      <c r="R43" s="1191">
        <v>6.2433035915785213</v>
      </c>
      <c r="S43" s="787">
        <v>19.286970023009534</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893"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c r="H47" s="413"/>
      <c r="I47" s="413"/>
      <c r="J47" s="413"/>
      <c r="K47" s="413"/>
      <c r="L47" s="414"/>
      <c r="M47" s="413"/>
      <c r="N47" s="413"/>
      <c r="O47" s="413"/>
      <c r="S47" s="1125"/>
    </row>
    <row r="48" spans="1:19" s="416" customFormat="1">
      <c r="A48" s="148"/>
      <c r="H48" s="413"/>
      <c r="I48" s="413"/>
      <c r="J48" s="413"/>
      <c r="K48" s="413"/>
      <c r="L48" s="414"/>
      <c r="M48" s="413"/>
      <c r="N48" s="413"/>
      <c r="O48" s="413"/>
      <c r="S48" s="1125"/>
    </row>
    <row r="49" spans="1:19">
      <c r="A49" s="387" t="s">
        <v>667</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B12" sqref="B12"/>
      <selection pane="bottomLeft" activeCell="B12" sqref="B12"/>
    </sheetView>
  </sheetViews>
  <sheetFormatPr defaultColWidth="9.140625" defaultRowHeight="15"/>
  <cols>
    <col min="1" max="1" width="38.710937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1781</v>
      </c>
      <c r="B1" s="387"/>
      <c r="C1" s="387"/>
      <c r="D1" s="387"/>
      <c r="E1" s="387"/>
      <c r="F1" s="387"/>
      <c r="G1" s="387"/>
      <c r="H1" s="387"/>
      <c r="I1" s="387"/>
      <c r="J1" s="387"/>
      <c r="K1" s="387"/>
      <c r="L1" s="387"/>
      <c r="M1" s="387"/>
      <c r="N1" s="387"/>
      <c r="O1" s="387"/>
    </row>
    <row r="2" spans="1:16" s="1992" customFormat="1" ht="21.75" customHeight="1">
      <c r="A2" s="1444" t="s">
        <v>1782</v>
      </c>
      <c r="B2" s="1991"/>
      <c r="C2" s="1991"/>
      <c r="D2" s="1991"/>
      <c r="E2" s="1991"/>
      <c r="F2" s="1991"/>
      <c r="G2" s="1991"/>
      <c r="H2" s="1991"/>
      <c r="I2" s="1991"/>
      <c r="J2" s="1991"/>
      <c r="K2" s="1991"/>
      <c r="L2" s="1991"/>
      <c r="M2" s="1991"/>
      <c r="N2" s="1991"/>
      <c r="O2" s="1991"/>
    </row>
    <row r="3" spans="1:16" s="416" customFormat="1" ht="18">
      <c r="A3" s="277" t="s">
        <v>1783</v>
      </c>
      <c r="B3" s="387"/>
      <c r="C3" s="387"/>
      <c r="D3" s="387"/>
      <c r="E3" s="387"/>
      <c r="F3" s="387"/>
      <c r="G3" s="387"/>
      <c r="H3" s="387"/>
      <c r="I3" s="387"/>
      <c r="J3" s="387"/>
      <c r="K3" s="387"/>
      <c r="L3" s="387"/>
      <c r="M3" s="387"/>
      <c r="N3" s="387"/>
      <c r="O3" s="387"/>
    </row>
    <row r="4" spans="1:16" s="416" customFormat="1" ht="14.25" customHeight="1">
      <c r="A4" s="1993" t="s">
        <v>558</v>
      </c>
      <c r="B4" s="415"/>
      <c r="C4" s="415"/>
      <c r="D4" s="415"/>
      <c r="E4" s="415"/>
      <c r="F4" s="415"/>
      <c r="O4" s="1994" t="s">
        <v>559</v>
      </c>
    </row>
    <row r="5" spans="1:16" s="161" customFormat="1" ht="23.85" customHeight="1">
      <c r="A5" s="1467" t="s">
        <v>410</v>
      </c>
      <c r="B5" s="1995" t="s">
        <v>607</v>
      </c>
      <c r="C5" s="160"/>
      <c r="D5" s="423"/>
      <c r="E5" s="423"/>
      <c r="F5" s="160"/>
      <c r="G5" s="1996" t="s">
        <v>608</v>
      </c>
      <c r="H5" s="1995" t="s">
        <v>609</v>
      </c>
      <c r="I5" s="425"/>
      <c r="J5" s="425"/>
      <c r="K5" s="174"/>
      <c r="L5" s="426"/>
      <c r="M5" s="426"/>
      <c r="N5" s="1996" t="s">
        <v>610</v>
      </c>
      <c r="O5" s="1997" t="s">
        <v>436</v>
      </c>
    </row>
    <row r="6" spans="1:16" s="404" customFormat="1" ht="20.25" customHeight="1">
      <c r="A6" s="1472"/>
      <c r="B6" s="1998"/>
      <c r="C6" s="430"/>
      <c r="D6" s="430"/>
      <c r="E6" s="430"/>
      <c r="F6" s="1999"/>
      <c r="G6" s="2000"/>
      <c r="H6" s="431" t="s">
        <v>567</v>
      </c>
      <c r="I6" s="181"/>
      <c r="J6" s="181"/>
      <c r="K6" s="424" t="s">
        <v>568</v>
      </c>
      <c r="L6" s="607"/>
      <c r="N6" s="432"/>
      <c r="O6" s="2001"/>
    </row>
    <row r="7" spans="1:16" s="404" customFormat="1" ht="31.5">
      <c r="A7" s="1472"/>
      <c r="B7" s="433" t="s">
        <v>573</v>
      </c>
      <c r="C7" s="435" t="s">
        <v>574</v>
      </c>
      <c r="D7" s="435" t="s">
        <v>575</v>
      </c>
      <c r="E7" s="435" t="s">
        <v>396</v>
      </c>
      <c r="F7" s="435" t="s">
        <v>386</v>
      </c>
      <c r="G7" s="435" t="s">
        <v>611</v>
      </c>
      <c r="H7" s="2000" t="s">
        <v>578</v>
      </c>
      <c r="I7" s="435" t="s">
        <v>579</v>
      </c>
      <c r="J7" s="435" t="s">
        <v>580</v>
      </c>
      <c r="K7" s="435" t="s">
        <v>581</v>
      </c>
      <c r="L7" s="435" t="s">
        <v>396</v>
      </c>
      <c r="M7" s="435" t="s">
        <v>386</v>
      </c>
      <c r="N7" s="435" t="s">
        <v>582</v>
      </c>
      <c r="O7" s="2001"/>
    </row>
    <row r="8" spans="1:16" s="404" customFormat="1" ht="47.25">
      <c r="A8" s="1475"/>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2002"/>
      <c r="P8" s="438"/>
    </row>
    <row r="9" spans="1:16" ht="33.75" customHeight="1">
      <c r="A9" s="2003" t="s">
        <v>668</v>
      </c>
      <c r="B9" s="2004">
        <v>7.5</v>
      </c>
      <c r="C9" s="1191">
        <v>10.305895865208193</v>
      </c>
      <c r="D9" s="2004">
        <v>8.727883284208346</v>
      </c>
      <c r="E9" s="2004">
        <v>6.9738578888330247</v>
      </c>
      <c r="F9" s="2004">
        <v>8.1347552087488406</v>
      </c>
      <c r="G9" s="2004">
        <v>8.5</v>
      </c>
      <c r="H9" s="2004">
        <v>4.7100368384814182</v>
      </c>
      <c r="I9" s="2004">
        <v>6.7823346083014595</v>
      </c>
      <c r="J9" s="2004">
        <v>4.5</v>
      </c>
      <c r="K9" s="2004">
        <v>7.1695581627283413</v>
      </c>
      <c r="L9" s="2004">
        <v>19.303660273725175</v>
      </c>
      <c r="M9" s="2004">
        <v>7.959779157413247</v>
      </c>
      <c r="N9" s="2004">
        <v>22</v>
      </c>
      <c r="O9" s="2005" t="s">
        <v>669</v>
      </c>
    </row>
    <row r="10" spans="1:16" ht="21" customHeight="1">
      <c r="A10" s="2003" t="s">
        <v>670</v>
      </c>
      <c r="B10" s="2004">
        <v>8.5</v>
      </c>
      <c r="C10" s="2004" t="s">
        <v>297</v>
      </c>
      <c r="D10" s="2004">
        <v>8.2202118034718072</v>
      </c>
      <c r="E10" s="2004">
        <v>8.1576917079607174</v>
      </c>
      <c r="F10" s="2004">
        <v>8.2162427548266486</v>
      </c>
      <c r="G10" s="2004" t="s">
        <v>297</v>
      </c>
      <c r="H10" s="2004">
        <v>6.3296702296192437</v>
      </c>
      <c r="I10" s="2004" t="s">
        <v>297</v>
      </c>
      <c r="J10" s="2004" t="s">
        <v>297</v>
      </c>
      <c r="K10" s="2004">
        <v>4.6217783619909838</v>
      </c>
      <c r="L10" s="2004" t="s">
        <v>297</v>
      </c>
      <c r="M10" s="2004">
        <v>12.6812649285511</v>
      </c>
      <c r="N10" s="2004">
        <v>19.5</v>
      </c>
      <c r="O10" s="2005" t="s">
        <v>671</v>
      </c>
    </row>
    <row r="11" spans="1:16" ht="21" customHeight="1">
      <c r="A11" s="2006" t="s">
        <v>672</v>
      </c>
      <c r="B11" s="2004">
        <v>7.5691526758518197</v>
      </c>
      <c r="C11" s="2004">
        <v>7.0744573243464544</v>
      </c>
      <c r="D11" s="2004">
        <v>6.8432642297697992</v>
      </c>
      <c r="E11" s="2004">
        <v>7.0697311992160223</v>
      </c>
      <c r="F11" s="2004">
        <v>7.3426608853577617</v>
      </c>
      <c r="G11" s="2004" t="s">
        <v>297</v>
      </c>
      <c r="H11" s="2004">
        <v>6.5033096745240604</v>
      </c>
      <c r="I11" s="2004">
        <v>6.283633813020491</v>
      </c>
      <c r="J11" s="2004">
        <v>5.6283750682447522</v>
      </c>
      <c r="K11" s="2004">
        <v>4.0317482326328733</v>
      </c>
      <c r="L11" s="2004">
        <v>5.7112630168909151</v>
      </c>
      <c r="M11" s="2004">
        <v>5.9232885570868961</v>
      </c>
      <c r="N11" s="2004">
        <v>17.906840213417325</v>
      </c>
      <c r="O11" s="2005" t="s">
        <v>673</v>
      </c>
    </row>
    <row r="12" spans="1:16" ht="21.2" customHeight="1">
      <c r="A12" s="2006" t="s">
        <v>674</v>
      </c>
      <c r="B12" s="2004">
        <v>7.4162401323230958</v>
      </c>
      <c r="C12" s="2004">
        <v>8.9635603396267189</v>
      </c>
      <c r="D12" s="2004">
        <v>7.9852355354317135</v>
      </c>
      <c r="E12" s="2004">
        <v>3.6674457571142276</v>
      </c>
      <c r="F12" s="2004">
        <v>4.8624642280705697</v>
      </c>
      <c r="G12" s="2004">
        <v>7.6582733812949639</v>
      </c>
      <c r="H12" s="2004">
        <v>5.2423601983029604</v>
      </c>
      <c r="I12" s="2004">
        <v>5.5</v>
      </c>
      <c r="J12" s="2004">
        <v>2.7619636203388125</v>
      </c>
      <c r="K12" s="2004">
        <v>5.4602068997061561</v>
      </c>
      <c r="L12" s="2004">
        <v>0.5</v>
      </c>
      <c r="M12" s="2004">
        <v>5.7440267492418631</v>
      </c>
      <c r="N12" s="2004">
        <v>19.5</v>
      </c>
      <c r="O12" s="2005" t="s">
        <v>675</v>
      </c>
    </row>
    <row r="13" spans="1:16" ht="21.2" customHeight="1">
      <c r="A13" s="2006" t="s">
        <v>676</v>
      </c>
      <c r="B13" s="2004">
        <v>7.5</v>
      </c>
      <c r="C13" s="2004">
        <v>7.4999999999999991</v>
      </c>
      <c r="D13" s="2004">
        <v>7.1058394160583944</v>
      </c>
      <c r="E13" s="2004">
        <v>7.6012374653296346</v>
      </c>
      <c r="F13" s="2004">
        <v>7.5337821095234174</v>
      </c>
      <c r="G13" s="2004" t="s">
        <v>297</v>
      </c>
      <c r="H13" s="2004" t="s">
        <v>297</v>
      </c>
      <c r="I13" s="2004" t="s">
        <v>297</v>
      </c>
      <c r="J13" s="2004" t="s">
        <v>297</v>
      </c>
      <c r="K13" s="2004" t="s">
        <v>297</v>
      </c>
      <c r="L13" s="2004" t="s">
        <v>297</v>
      </c>
      <c r="M13" s="2004" t="s">
        <v>297</v>
      </c>
      <c r="N13" s="2004" t="s">
        <v>297</v>
      </c>
      <c r="O13" s="2005" t="s">
        <v>677</v>
      </c>
    </row>
    <row r="14" spans="1:16" ht="21.2" customHeight="1">
      <c r="A14" s="2006" t="s">
        <v>678</v>
      </c>
      <c r="B14" s="2004">
        <v>7.5858895705521476</v>
      </c>
      <c r="C14" s="2004">
        <v>6.5</v>
      </c>
      <c r="D14" s="2004">
        <v>8.0425055928411631</v>
      </c>
      <c r="E14" s="2004">
        <v>7.6400491400491397</v>
      </c>
      <c r="F14" s="2004">
        <v>7.256285274499743</v>
      </c>
      <c r="G14" s="2004">
        <v>8.510123275369418</v>
      </c>
      <c r="H14" s="2004">
        <v>6.6690987124463517</v>
      </c>
      <c r="I14" s="2004">
        <v>1.5</v>
      </c>
      <c r="J14" s="2004">
        <v>5.8461538461538458</v>
      </c>
      <c r="K14" s="2004">
        <v>5.8761638733705777</v>
      </c>
      <c r="L14" s="2004" t="s">
        <v>297</v>
      </c>
      <c r="M14" s="2004">
        <v>6.3261571582346612</v>
      </c>
      <c r="N14" s="2004">
        <v>11.5</v>
      </c>
      <c r="O14" s="2005" t="s">
        <v>679</v>
      </c>
    </row>
    <row r="15" spans="1:16" s="164" customFormat="1" ht="30.2" customHeight="1">
      <c r="A15" s="2007" t="s">
        <v>653</v>
      </c>
      <c r="B15" s="2008">
        <v>7.5514931265496266</v>
      </c>
      <c r="C15" s="2008">
        <v>7.3717383780402974</v>
      </c>
      <c r="D15" s="2008">
        <v>8.18285805610304</v>
      </c>
      <c r="E15" s="2008">
        <v>5.5199595961827379</v>
      </c>
      <c r="F15" s="2008">
        <v>6.965018645530785</v>
      </c>
      <c r="G15" s="2008">
        <v>8.0449618594180539</v>
      </c>
      <c r="H15" s="2008">
        <v>6.3144549429983678</v>
      </c>
      <c r="I15" s="2008">
        <v>6.2113251637655731</v>
      </c>
      <c r="J15" s="2008">
        <v>5.3606651043769515</v>
      </c>
      <c r="K15" s="2008">
        <v>6.093350122649178</v>
      </c>
      <c r="L15" s="2008">
        <v>6.0539159623782002</v>
      </c>
      <c r="M15" s="2008">
        <v>6.2433035915785213</v>
      </c>
      <c r="N15" s="2008">
        <v>19.286970023009534</v>
      </c>
      <c r="O15" s="2009" t="s">
        <v>654</v>
      </c>
    </row>
    <row r="16" spans="1:16" s="306" customFormat="1" ht="20.25" customHeight="1">
      <c r="A16" s="253" t="s">
        <v>680</v>
      </c>
      <c r="B16" s="253"/>
      <c r="C16" s="253"/>
      <c r="D16" s="253"/>
      <c r="E16" s="253"/>
      <c r="F16" s="253"/>
      <c r="G16" s="253"/>
      <c r="H16" s="253"/>
      <c r="I16" s="253"/>
      <c r="J16" s="253"/>
      <c r="K16" s="253"/>
      <c r="L16" s="253"/>
      <c r="M16" s="253"/>
      <c r="N16" s="253"/>
      <c r="O16" s="1893" t="s">
        <v>681</v>
      </c>
    </row>
    <row r="17" spans="1:15" s="306" customFormat="1" ht="14.25" customHeight="1">
      <c r="A17" s="306" t="s">
        <v>657</v>
      </c>
      <c r="O17" s="305" t="s">
        <v>682</v>
      </c>
    </row>
    <row r="18" spans="1:15" s="306" customFormat="1" ht="14.25" customHeight="1">
      <c r="A18" s="306" t="s">
        <v>659</v>
      </c>
      <c r="F18" s="321"/>
      <c r="G18" s="321"/>
      <c r="O18" s="305" t="s">
        <v>660</v>
      </c>
    </row>
    <row r="19" spans="1:15" s="306" customFormat="1" ht="14.25">
      <c r="A19" s="306" t="s">
        <v>661</v>
      </c>
      <c r="O19" s="305" t="s">
        <v>662</v>
      </c>
    </row>
    <row r="20" spans="1:15" s="306" customFormat="1" ht="14.25" customHeight="1">
      <c r="A20" s="306" t="s">
        <v>663</v>
      </c>
      <c r="D20" s="441"/>
      <c r="E20" s="441"/>
      <c r="F20" s="442"/>
      <c r="G20" s="321"/>
      <c r="O20" s="305" t="s">
        <v>664</v>
      </c>
    </row>
    <row r="21" spans="1:15" s="416" customFormat="1" ht="13.7" customHeight="1">
      <c r="A21" s="306"/>
      <c r="B21" s="306"/>
      <c r="C21" s="306"/>
      <c r="D21" s="306"/>
      <c r="E21" s="413"/>
      <c r="F21" s="414"/>
      <c r="G21" s="413"/>
      <c r="H21" s="413"/>
      <c r="I21" s="413"/>
      <c r="J21" s="306"/>
      <c r="K21" s="306"/>
      <c r="L21" s="306"/>
      <c r="M21" s="306"/>
      <c r="N21" s="305"/>
      <c r="O21" s="2010"/>
    </row>
    <row r="22" spans="1:15">
      <c r="B22" s="443"/>
      <c r="C22" s="443"/>
      <c r="D22" s="443"/>
      <c r="E22" s="1342"/>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2011" t="s">
        <v>683</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52" activePane="bottomLeft" state="frozen"/>
      <selection activeCell="B12" sqref="B12"/>
      <selection pane="bottomLeft" activeCell="B12" sqref="B12"/>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1780</v>
      </c>
      <c r="B1" s="444"/>
      <c r="C1" s="444"/>
      <c r="D1" s="444"/>
      <c r="E1" s="444"/>
      <c r="F1" s="444"/>
      <c r="G1" s="1248" t="s">
        <v>684</v>
      </c>
    </row>
    <row r="2" spans="1:7" ht="18">
      <c r="A2" s="1986" t="s">
        <v>25</v>
      </c>
      <c r="B2" s="444"/>
      <c r="C2" s="444"/>
      <c r="D2" s="444"/>
      <c r="E2" s="444"/>
      <c r="F2" s="444"/>
      <c r="G2" s="1248"/>
    </row>
    <row r="3" spans="1:7" ht="18">
      <c r="A3" s="446" t="s">
        <v>24</v>
      </c>
      <c r="B3" s="444"/>
      <c r="C3" s="444"/>
      <c r="D3" s="444"/>
      <c r="E3" s="444"/>
      <c r="F3" s="444"/>
      <c r="G3" s="1248"/>
    </row>
    <row r="4" spans="1:7" s="448" customFormat="1" ht="12.75" customHeight="1">
      <c r="A4" s="446"/>
      <c r="B4" s="447"/>
      <c r="C4" s="447"/>
      <c r="D4" s="447"/>
      <c r="E4" s="447"/>
      <c r="F4" s="447"/>
      <c r="G4" s="1248"/>
    </row>
    <row r="5" spans="1:7" ht="15.75">
      <c r="A5" s="449"/>
      <c r="B5" s="450" t="s">
        <v>685</v>
      </c>
      <c r="C5" s="450" t="s">
        <v>341</v>
      </c>
      <c r="D5" s="450" t="s">
        <v>686</v>
      </c>
      <c r="E5" s="450" t="s">
        <v>687</v>
      </c>
      <c r="F5" s="451" t="s">
        <v>291</v>
      </c>
      <c r="G5" s="1248"/>
    </row>
    <row r="6" spans="1:7" ht="15.75">
      <c r="A6" s="452"/>
      <c r="B6" s="453" t="s">
        <v>688</v>
      </c>
      <c r="C6" s="453" t="s">
        <v>689</v>
      </c>
      <c r="D6" s="453" t="s">
        <v>690</v>
      </c>
      <c r="E6" s="453" t="s">
        <v>691</v>
      </c>
      <c r="F6" s="454" t="s">
        <v>692</v>
      </c>
      <c r="G6" s="1248"/>
    </row>
    <row r="7" spans="1:7" ht="15.75">
      <c r="A7" s="452" t="s">
        <v>693</v>
      </c>
      <c r="B7" s="453" t="s">
        <v>694</v>
      </c>
      <c r="C7" s="453" t="s">
        <v>694</v>
      </c>
      <c r="D7" s="453" t="s">
        <v>695</v>
      </c>
      <c r="E7" s="453" t="s">
        <v>696</v>
      </c>
      <c r="F7" s="454" t="s">
        <v>697</v>
      </c>
      <c r="G7" s="1248"/>
    </row>
    <row r="8" spans="1:7" ht="15.75">
      <c r="A8" s="455" t="s">
        <v>698</v>
      </c>
      <c r="B8" s="456" t="s">
        <v>397</v>
      </c>
      <c r="C8" s="456" t="s">
        <v>699</v>
      </c>
      <c r="D8" s="456" t="s">
        <v>700</v>
      </c>
      <c r="E8" s="456" t="s">
        <v>701</v>
      </c>
      <c r="F8" s="457" t="s">
        <v>702</v>
      </c>
      <c r="G8" s="1248"/>
    </row>
    <row r="9" spans="1:7" ht="15.75">
      <c r="A9" s="455" t="s">
        <v>703</v>
      </c>
      <c r="B9" s="456" t="s">
        <v>704</v>
      </c>
      <c r="C9" s="456" t="s">
        <v>705</v>
      </c>
      <c r="D9" s="456" t="s">
        <v>706</v>
      </c>
      <c r="E9" s="456" t="s">
        <v>707</v>
      </c>
      <c r="F9" s="457" t="s">
        <v>708</v>
      </c>
      <c r="G9" s="1248"/>
    </row>
    <row r="10" spans="1:7" ht="15.75">
      <c r="A10" s="455"/>
      <c r="B10" s="456" t="s">
        <v>709</v>
      </c>
      <c r="C10" s="456" t="s">
        <v>710</v>
      </c>
      <c r="D10" s="456" t="s">
        <v>711</v>
      </c>
      <c r="E10" s="456" t="s">
        <v>712</v>
      </c>
      <c r="F10" s="457" t="s">
        <v>713</v>
      </c>
      <c r="G10" s="1248"/>
    </row>
    <row r="11" spans="1:7" s="461" customFormat="1" ht="15.75">
      <c r="A11" s="458"/>
      <c r="B11" s="459" t="s">
        <v>714</v>
      </c>
      <c r="C11" s="459" t="s">
        <v>714</v>
      </c>
      <c r="D11" s="459" t="s">
        <v>715</v>
      </c>
      <c r="E11" s="459" t="s">
        <v>716</v>
      </c>
      <c r="F11" s="460" t="s">
        <v>716</v>
      </c>
      <c r="G11" s="1248"/>
    </row>
    <row r="12" spans="1:7" ht="20.25" customHeight="1">
      <c r="A12" s="1987" t="s">
        <v>717</v>
      </c>
      <c r="B12" s="1988">
        <v>72</v>
      </c>
      <c r="C12" s="1988">
        <v>70</v>
      </c>
      <c r="D12" s="1989">
        <v>98.391000000000005</v>
      </c>
      <c r="E12" s="1990">
        <v>6.47</v>
      </c>
      <c r="F12" s="1990">
        <v>5.3480999999999996</v>
      </c>
      <c r="G12" s="1248"/>
    </row>
    <row r="13" spans="1:7" ht="12.75" customHeight="1">
      <c r="A13" s="1987" t="s">
        <v>718</v>
      </c>
      <c r="B13" s="1988">
        <v>124.943511</v>
      </c>
      <c r="C13" s="1988">
        <v>70</v>
      </c>
      <c r="D13" s="1989">
        <v>98.447000000000003</v>
      </c>
      <c r="E13" s="1990">
        <v>6.24</v>
      </c>
      <c r="F13" s="1990">
        <v>5.3164999999999996</v>
      </c>
      <c r="G13" s="1248"/>
    </row>
    <row r="14" spans="1:7" ht="12.75" customHeight="1">
      <c r="A14" s="1987" t="s">
        <v>719</v>
      </c>
      <c r="B14" s="1988">
        <v>261.14732299999997</v>
      </c>
      <c r="C14" s="1988">
        <v>100</v>
      </c>
      <c r="D14" s="1989">
        <v>94.266000000000005</v>
      </c>
      <c r="E14" s="1990">
        <v>6.02</v>
      </c>
      <c r="F14" s="1990">
        <v>4.7897999999999996</v>
      </c>
      <c r="G14" s="1248"/>
    </row>
    <row r="15" spans="1:7" ht="12.75" customHeight="1">
      <c r="A15" s="1987" t="s">
        <v>720</v>
      </c>
      <c r="B15" s="1988">
        <v>149.02888899999999</v>
      </c>
      <c r="C15" s="1988">
        <v>70</v>
      </c>
      <c r="D15" s="1989">
        <v>98.468000000000004</v>
      </c>
      <c r="E15" s="1990">
        <v>6.15</v>
      </c>
      <c r="F15" s="1990">
        <v>5.3158000000000003</v>
      </c>
      <c r="G15" s="1248"/>
    </row>
    <row r="16" spans="1:7" ht="12.75" customHeight="1">
      <c r="A16" s="1987" t="s">
        <v>721</v>
      </c>
      <c r="B16" s="1988">
        <v>117.442295</v>
      </c>
      <c r="C16" s="1988">
        <v>35</v>
      </c>
      <c r="D16" s="1989">
        <v>97.034000000000006</v>
      </c>
      <c r="E16" s="1990">
        <v>6.05</v>
      </c>
      <c r="F16" s="1990">
        <v>5.1866000000000003</v>
      </c>
      <c r="G16" s="1248"/>
    </row>
    <row r="17" spans="1:7" ht="12.75" customHeight="1">
      <c r="A17" s="1987" t="s">
        <v>722</v>
      </c>
      <c r="B17" s="1988">
        <v>198.42028999999999</v>
      </c>
      <c r="C17" s="1988">
        <v>70</v>
      </c>
      <c r="D17" s="1989">
        <v>98.486999999999995</v>
      </c>
      <c r="E17" s="1990">
        <v>6.08</v>
      </c>
      <c r="F17" s="1990">
        <v>5.3174000000000001</v>
      </c>
      <c r="G17" s="1248"/>
    </row>
    <row r="18" spans="1:7" ht="20.25" customHeight="1">
      <c r="A18" s="1987" t="s">
        <v>1656</v>
      </c>
      <c r="B18" s="1988">
        <v>114.699932</v>
      </c>
      <c r="C18" s="1988">
        <v>70</v>
      </c>
      <c r="D18" s="1989">
        <v>98.507000000000005</v>
      </c>
      <c r="E18" s="1990">
        <v>6</v>
      </c>
      <c r="F18" s="1990">
        <v>5.2904999999999998</v>
      </c>
      <c r="G18" s="1248"/>
    </row>
    <row r="19" spans="1:7" ht="12.75" customHeight="1">
      <c r="A19" s="1987" t="s">
        <v>1657</v>
      </c>
      <c r="B19" s="1988">
        <v>141.86639099999999</v>
      </c>
      <c r="C19" s="1988">
        <v>70</v>
      </c>
      <c r="D19" s="1989">
        <v>98.516000000000005</v>
      </c>
      <c r="E19" s="1990">
        <v>5.96</v>
      </c>
      <c r="F19" s="1990">
        <v>5.3869999999999996</v>
      </c>
      <c r="G19" s="1248"/>
    </row>
    <row r="20" spans="1:7" ht="12.75" customHeight="1">
      <c r="A20" s="1987" t="s">
        <v>1658</v>
      </c>
      <c r="B20" s="1988">
        <v>173.51529600000001</v>
      </c>
      <c r="C20" s="1988">
        <v>100</v>
      </c>
      <c r="D20" s="1989">
        <v>94.322000000000003</v>
      </c>
      <c r="E20" s="1990">
        <v>5.95</v>
      </c>
      <c r="F20" s="1990">
        <v>5.0132000000000003</v>
      </c>
      <c r="G20" s="1248"/>
    </row>
    <row r="21" spans="1:7" ht="12.75" customHeight="1">
      <c r="A21" s="1987" t="s">
        <v>1659</v>
      </c>
      <c r="B21" s="1988">
        <v>78.992868999999999</v>
      </c>
      <c r="C21" s="1988">
        <v>35</v>
      </c>
      <c r="D21" s="1989">
        <v>97.076999999999998</v>
      </c>
      <c r="E21" s="1990">
        <v>5.96</v>
      </c>
      <c r="F21" s="1990">
        <v>5.3651</v>
      </c>
      <c r="G21" s="1248"/>
    </row>
    <row r="22" spans="1:7" ht="12.75" customHeight="1">
      <c r="A22" s="1987" t="s">
        <v>1660</v>
      </c>
      <c r="B22" s="1988">
        <v>79.724350000000001</v>
      </c>
      <c r="C22" s="1988">
        <v>70</v>
      </c>
      <c r="D22" s="1989">
        <v>98.528000000000006</v>
      </c>
      <c r="E22" s="1341">
        <v>5.91</v>
      </c>
      <c r="F22" s="1990">
        <v>5.4348000000000001</v>
      </c>
      <c r="G22" s="1248"/>
    </row>
    <row r="23" spans="1:7" ht="20.25" customHeight="1">
      <c r="A23" s="1987" t="s">
        <v>1662</v>
      </c>
      <c r="B23" s="1988">
        <v>73.5</v>
      </c>
      <c r="C23" s="1988">
        <v>70</v>
      </c>
      <c r="D23" s="1989">
        <v>98.525999999999996</v>
      </c>
      <c r="E23" s="1990">
        <v>5.92</v>
      </c>
      <c r="F23" s="1990">
        <v>5.3948999999999998</v>
      </c>
      <c r="G23" s="1248"/>
    </row>
    <row r="24" spans="1:7" ht="12.75" customHeight="1">
      <c r="A24" s="1987" t="s">
        <v>1663</v>
      </c>
      <c r="B24" s="1988">
        <v>74</v>
      </c>
      <c r="C24" s="1988">
        <v>70</v>
      </c>
      <c r="D24" s="1989">
        <v>98.516999999999996</v>
      </c>
      <c r="E24" s="1990">
        <v>5.96</v>
      </c>
      <c r="F24" s="1990">
        <v>5.4653</v>
      </c>
      <c r="G24" s="1248"/>
    </row>
    <row r="25" spans="1:7" ht="12.75" customHeight="1">
      <c r="A25" s="1987" t="s">
        <v>1664</v>
      </c>
      <c r="B25" s="1988">
        <v>100.5</v>
      </c>
      <c r="C25" s="1988">
        <v>100</v>
      </c>
      <c r="D25" s="1989">
        <v>94.275000000000006</v>
      </c>
      <c r="E25" s="1990">
        <v>6.01</v>
      </c>
      <c r="F25" s="1990">
        <v>5.1603000000000003</v>
      </c>
      <c r="G25" s="1248"/>
    </row>
    <row r="26" spans="1:7" ht="12.75" customHeight="1">
      <c r="A26" s="1987" t="s">
        <v>1665</v>
      </c>
      <c r="B26" s="1988">
        <v>52.057178</v>
      </c>
      <c r="C26" s="1988">
        <v>35</v>
      </c>
      <c r="D26" s="1989">
        <v>97.073999999999998</v>
      </c>
      <c r="E26" s="1990">
        <v>5.96</v>
      </c>
      <c r="F26" s="1990">
        <v>5.3423999999999996</v>
      </c>
      <c r="G26" s="1248"/>
    </row>
    <row r="27" spans="1:7" ht="12.75" customHeight="1">
      <c r="A27" s="1987" t="s">
        <v>1666</v>
      </c>
      <c r="B27" s="1988">
        <v>141.134556</v>
      </c>
      <c r="C27" s="1988">
        <v>70</v>
      </c>
      <c r="D27" s="1989">
        <v>98.53</v>
      </c>
      <c r="E27" s="1990">
        <v>5.9</v>
      </c>
      <c r="F27" s="1990">
        <v>5.3089000000000004</v>
      </c>
      <c r="G27" s="1248"/>
    </row>
    <row r="28" spans="1:7" ht="20.25" customHeight="1">
      <c r="A28" s="1987" t="s">
        <v>1670</v>
      </c>
      <c r="B28" s="1988">
        <v>78</v>
      </c>
      <c r="C28" s="1988">
        <v>70</v>
      </c>
      <c r="D28" s="1989">
        <v>98.52</v>
      </c>
      <c r="E28" s="1990">
        <v>5.94</v>
      </c>
      <c r="F28" s="1990">
        <v>5.2981999999999996</v>
      </c>
      <c r="G28" s="1248"/>
    </row>
    <row r="29" spans="1:7" ht="12.75" customHeight="1">
      <c r="A29" s="1987" t="s">
        <v>1667</v>
      </c>
      <c r="B29" s="1988">
        <v>78</v>
      </c>
      <c r="C29" s="1988">
        <v>70</v>
      </c>
      <c r="D29" s="1989">
        <v>98.516999999999996</v>
      </c>
      <c r="E29" s="1990">
        <v>5.95</v>
      </c>
      <c r="F29" s="1990">
        <v>5.3277000000000001</v>
      </c>
      <c r="G29" s="1248"/>
    </row>
    <row r="30" spans="1:7" ht="12.75" customHeight="1">
      <c r="A30" s="1987" t="s">
        <v>1668</v>
      </c>
      <c r="B30" s="1988">
        <v>135</v>
      </c>
      <c r="C30" s="1988">
        <v>100</v>
      </c>
      <c r="D30" s="1989">
        <v>94.265000000000001</v>
      </c>
      <c r="E30" s="1990">
        <v>6.02</v>
      </c>
      <c r="F30" s="1990">
        <v>5.1719999999999997</v>
      </c>
      <c r="G30" s="1248"/>
    </row>
    <row r="31" spans="1:7" ht="12.75" customHeight="1">
      <c r="A31" s="1987" t="s">
        <v>1669</v>
      </c>
      <c r="B31" s="1988">
        <v>154.717297</v>
      </c>
      <c r="C31" s="1988">
        <v>69.999998000000005</v>
      </c>
      <c r="D31" s="1989">
        <v>98.518000000000001</v>
      </c>
      <c r="E31" s="1990">
        <v>5.95</v>
      </c>
      <c r="F31" s="1990">
        <v>5.4835000000000003</v>
      </c>
      <c r="G31" s="1248"/>
    </row>
    <row r="32" spans="1:7" ht="20.25" customHeight="1">
      <c r="A32" s="1987" t="s">
        <v>1673</v>
      </c>
      <c r="B32" s="1988">
        <v>102.695638</v>
      </c>
      <c r="C32" s="1988">
        <v>70</v>
      </c>
      <c r="D32" s="1989">
        <v>98.522000000000006</v>
      </c>
      <c r="E32" s="1990">
        <v>5.94</v>
      </c>
      <c r="F32" s="1990">
        <v>5.4835000000000003</v>
      </c>
      <c r="G32" s="1248"/>
    </row>
    <row r="33" spans="1:7" ht="12.75" customHeight="1">
      <c r="A33" s="1987" t="s">
        <v>1674</v>
      </c>
      <c r="B33" s="1988">
        <v>47.706991000000002</v>
      </c>
      <c r="C33" s="1988">
        <v>35</v>
      </c>
      <c r="D33" s="1989">
        <v>97.058000000000007</v>
      </c>
      <c r="E33" s="1990">
        <v>6</v>
      </c>
      <c r="F33" s="1990">
        <v>5.4206000000000003</v>
      </c>
      <c r="G33" s="1248"/>
    </row>
    <row r="34" spans="1:7" ht="12.75" customHeight="1">
      <c r="A34" s="1987" t="s">
        <v>1675</v>
      </c>
      <c r="B34" s="1988">
        <v>90.009422999999998</v>
      </c>
      <c r="C34" s="1988">
        <v>70</v>
      </c>
      <c r="D34" s="1989">
        <v>98.527000000000001</v>
      </c>
      <c r="E34" s="1990">
        <v>5.92</v>
      </c>
      <c r="F34" s="1990">
        <v>5.3982999999999999</v>
      </c>
      <c r="G34" s="1248"/>
    </row>
    <row r="35" spans="1:7" ht="12.75" customHeight="1">
      <c r="A35" s="1987" t="s">
        <v>1676</v>
      </c>
      <c r="B35" s="1988">
        <v>126.372438</v>
      </c>
      <c r="C35" s="1988">
        <v>69.999998000000005</v>
      </c>
      <c r="D35" s="1989">
        <v>98.527000000000001</v>
      </c>
      <c r="E35" s="1990">
        <v>5.91</v>
      </c>
      <c r="F35" s="1990">
        <v>5.4118000000000004</v>
      </c>
      <c r="G35" s="1248"/>
    </row>
    <row r="36" spans="1:7" ht="12.75" customHeight="1">
      <c r="A36" s="1987" t="s">
        <v>1677</v>
      </c>
      <c r="B36" s="1988">
        <v>137.17003800000001</v>
      </c>
      <c r="C36" s="1988">
        <v>100</v>
      </c>
      <c r="D36" s="1989">
        <v>94.206999999999994</v>
      </c>
      <c r="E36" s="1990">
        <v>6.08</v>
      </c>
      <c r="F36" s="1990">
        <v>5.1742999999999997</v>
      </c>
      <c r="G36" s="1248"/>
    </row>
    <row r="37" spans="1:7" ht="12.75" customHeight="1">
      <c r="A37" s="1987" t="s">
        <v>1678</v>
      </c>
      <c r="B37" s="1988">
        <v>69.299335999999997</v>
      </c>
      <c r="C37" s="1988">
        <v>35</v>
      </c>
      <c r="D37" s="1989">
        <v>97.052999999999997</v>
      </c>
      <c r="E37" s="1990">
        <v>6.01</v>
      </c>
      <c r="F37" s="1990">
        <v>5.3396999999999997</v>
      </c>
      <c r="G37" s="1248"/>
    </row>
    <row r="38" spans="1:7" ht="12.75" customHeight="1">
      <c r="A38" s="1987" t="s">
        <v>1679</v>
      </c>
      <c r="B38" s="1988">
        <v>100.066872</v>
      </c>
      <c r="C38" s="1988">
        <v>70</v>
      </c>
      <c r="D38" s="1989">
        <v>98.53</v>
      </c>
      <c r="E38" s="1990">
        <v>5.9</v>
      </c>
      <c r="F38" s="1990">
        <v>5.4104999999999999</v>
      </c>
      <c r="G38" s="1248"/>
    </row>
    <row r="39" spans="1:7" ht="20.25" customHeight="1">
      <c r="A39" s="1987" t="s">
        <v>1685</v>
      </c>
      <c r="B39" s="1988">
        <v>78.287711999999999</v>
      </c>
      <c r="C39" s="1988">
        <v>70</v>
      </c>
      <c r="D39" s="1989">
        <v>98.531999999999996</v>
      </c>
      <c r="E39" s="1990">
        <v>5.89</v>
      </c>
      <c r="F39" s="1990">
        <v>5.3428000000000004</v>
      </c>
      <c r="G39" s="1248"/>
    </row>
    <row r="40" spans="1:7" ht="12.75" customHeight="1">
      <c r="A40" s="1987" t="s">
        <v>1681</v>
      </c>
      <c r="B40" s="1988">
        <v>70</v>
      </c>
      <c r="C40" s="1988">
        <v>70</v>
      </c>
      <c r="D40" s="1989">
        <v>98.52</v>
      </c>
      <c r="E40" s="1990">
        <v>5.94</v>
      </c>
      <c r="F40" s="1990">
        <v>5.3926999999999996</v>
      </c>
      <c r="G40" s="1248"/>
    </row>
    <row r="41" spans="1:7" ht="12.75" customHeight="1">
      <c r="A41" s="1987" t="s">
        <v>1682</v>
      </c>
      <c r="B41" s="1988">
        <v>100</v>
      </c>
      <c r="C41" s="1988">
        <v>100</v>
      </c>
      <c r="D41" s="1989">
        <v>94.200999999999993</v>
      </c>
      <c r="E41" s="1990">
        <v>6.09</v>
      </c>
      <c r="F41" s="1990">
        <v>5.1454000000000004</v>
      </c>
      <c r="G41" s="1248"/>
    </row>
    <row r="42" spans="1:7" ht="12.75" customHeight="1">
      <c r="A42" s="1987" t="s">
        <v>1683</v>
      </c>
      <c r="B42" s="1988">
        <v>53.107447000000001</v>
      </c>
      <c r="C42" s="1988">
        <v>35</v>
      </c>
      <c r="D42" s="1989">
        <v>97.037000000000006</v>
      </c>
      <c r="E42" s="1990">
        <v>6.04</v>
      </c>
      <c r="F42" s="1990">
        <v>5.3583999999999996</v>
      </c>
      <c r="G42" s="1248"/>
    </row>
    <row r="43" spans="1:7" ht="12.75" customHeight="1">
      <c r="A43" s="1987" t="s">
        <v>1684</v>
      </c>
      <c r="B43" s="1988">
        <v>70</v>
      </c>
      <c r="C43" s="1988">
        <v>70</v>
      </c>
      <c r="D43" s="1989">
        <v>98.498000000000005</v>
      </c>
      <c r="E43" s="1990">
        <v>6.03</v>
      </c>
      <c r="F43" s="1990">
        <v>5.3930999999999996</v>
      </c>
      <c r="G43" s="1248"/>
    </row>
    <row r="44" spans="1:7" ht="20.25" customHeight="1">
      <c r="A44" s="1987" t="s">
        <v>1687</v>
      </c>
      <c r="B44" s="1988">
        <v>70</v>
      </c>
      <c r="C44" s="1988">
        <v>70</v>
      </c>
      <c r="D44" s="1989">
        <v>98.491</v>
      </c>
      <c r="E44" s="1990">
        <v>6.06</v>
      </c>
      <c r="F44" s="1990">
        <v>5.3246000000000002</v>
      </c>
      <c r="G44" s="1248"/>
    </row>
    <row r="45" spans="1:7" ht="12.75" customHeight="1">
      <c r="A45" s="1987" t="s">
        <v>1688</v>
      </c>
      <c r="B45" s="1988">
        <v>71</v>
      </c>
      <c r="C45" s="1988">
        <v>70</v>
      </c>
      <c r="D45" s="1989">
        <v>98.477999999999994</v>
      </c>
      <c r="E45" s="1990">
        <v>6.11</v>
      </c>
      <c r="F45" s="1990">
        <v>5.2861000000000002</v>
      </c>
      <c r="G45" s="1248"/>
    </row>
    <row r="46" spans="1:7" ht="12.75" customHeight="1">
      <c r="A46" s="1987" t="s">
        <v>1689</v>
      </c>
      <c r="B46" s="1988">
        <v>108.18730600000001</v>
      </c>
      <c r="C46" s="1988">
        <v>100</v>
      </c>
      <c r="D46" s="1989">
        <v>94.191000000000003</v>
      </c>
      <c r="E46" s="1990">
        <v>6.1</v>
      </c>
      <c r="F46" s="1990">
        <v>5.3634000000000004</v>
      </c>
      <c r="G46" s="1248"/>
    </row>
    <row r="47" spans="1:7" ht="12.75" customHeight="1">
      <c r="A47" s="1987" t="s">
        <v>1690</v>
      </c>
      <c r="B47" s="1988">
        <v>89.85</v>
      </c>
      <c r="C47" s="1988">
        <v>70</v>
      </c>
      <c r="D47" s="1989">
        <v>98.373999999999995</v>
      </c>
      <c r="E47" s="1990">
        <v>6.54</v>
      </c>
      <c r="F47" s="1990">
        <v>5.3514999999999997</v>
      </c>
      <c r="G47" s="1248"/>
    </row>
    <row r="48" spans="1:7" ht="12.75" customHeight="1">
      <c r="A48" s="1987" t="s">
        <v>1691</v>
      </c>
      <c r="B48" s="1988">
        <v>37.221716999999998</v>
      </c>
      <c r="C48" s="1988">
        <v>35</v>
      </c>
      <c r="D48" s="1989">
        <v>96.915999999999997</v>
      </c>
      <c r="E48" s="1990">
        <v>6.29</v>
      </c>
      <c r="F48" s="1990">
        <v>5.2045000000000003</v>
      </c>
      <c r="G48" s="1248"/>
    </row>
    <row r="49" spans="1:7" ht="12.75" customHeight="1">
      <c r="A49" s="1987" t="s">
        <v>1692</v>
      </c>
      <c r="B49" s="1988">
        <v>71</v>
      </c>
      <c r="C49" s="1988">
        <v>70</v>
      </c>
      <c r="D49" s="1989">
        <v>98.355000000000004</v>
      </c>
      <c r="E49" s="1990">
        <v>6.61</v>
      </c>
      <c r="F49" s="1990">
        <v>5.2553999999999998</v>
      </c>
      <c r="G49" s="1248"/>
    </row>
    <row r="50" spans="1:7" ht="20.25" customHeight="1">
      <c r="A50" s="1987" t="s">
        <v>1695</v>
      </c>
      <c r="B50" s="1988">
        <v>150.421661</v>
      </c>
      <c r="C50" s="1988">
        <v>70</v>
      </c>
      <c r="D50" s="1989">
        <v>98.41</v>
      </c>
      <c r="E50" s="1990">
        <v>6.39</v>
      </c>
      <c r="F50" s="1990">
        <v>5.1273</v>
      </c>
      <c r="G50" s="1248"/>
    </row>
    <row r="51" spans="1:7" ht="12.75" customHeight="1">
      <c r="A51" s="1987" t="s">
        <v>1696</v>
      </c>
      <c r="B51" s="1988">
        <v>122.98542999999999</v>
      </c>
      <c r="C51" s="1988">
        <v>70</v>
      </c>
      <c r="D51" s="1989">
        <v>98.442999999999998</v>
      </c>
      <c r="E51" s="1990">
        <v>6.26</v>
      </c>
      <c r="F51" s="1990">
        <v>5.1284000000000001</v>
      </c>
      <c r="G51" s="1248"/>
    </row>
    <row r="52" spans="1:7" ht="12.75" customHeight="1">
      <c r="A52" s="1987" t="s">
        <v>1697</v>
      </c>
      <c r="B52" s="1988">
        <v>247.79711699999999</v>
      </c>
      <c r="C52" s="1988">
        <v>100</v>
      </c>
      <c r="D52" s="1989">
        <v>94.507999999999996</v>
      </c>
      <c r="E52" s="1990">
        <v>5.75</v>
      </c>
      <c r="F52" s="1990">
        <v>4.3954000000000004</v>
      </c>
      <c r="G52" s="1248"/>
    </row>
    <row r="53" spans="1:7" ht="12.75" customHeight="1">
      <c r="A53" s="1987" t="s">
        <v>1698</v>
      </c>
      <c r="B53" s="1988">
        <v>89.056488999999999</v>
      </c>
      <c r="C53" s="1988">
        <v>35</v>
      </c>
      <c r="D53" s="1989">
        <v>97.085999999999999</v>
      </c>
      <c r="E53" s="1990">
        <v>5.94</v>
      </c>
      <c r="F53" s="1990">
        <v>4.8277000000000001</v>
      </c>
      <c r="G53" s="1248"/>
    </row>
    <row r="54" spans="1:7" ht="12.75" customHeight="1">
      <c r="A54" s="1987" t="s">
        <v>1699</v>
      </c>
      <c r="B54" s="1988">
        <v>79.721521999999993</v>
      </c>
      <c r="C54" s="1988">
        <v>70</v>
      </c>
      <c r="D54" s="1989">
        <v>98.444999999999993</v>
      </c>
      <c r="E54" s="1990">
        <v>6.25</v>
      </c>
      <c r="F54" s="1990">
        <v>5.0805999999999996</v>
      </c>
      <c r="G54" s="1248"/>
    </row>
    <row r="55" spans="1:7" ht="20.25" customHeight="1">
      <c r="A55" s="1987" t="s">
        <v>1701</v>
      </c>
      <c r="B55" s="1988">
        <v>124.425135</v>
      </c>
      <c r="C55" s="1988">
        <v>70</v>
      </c>
      <c r="D55" s="1989">
        <v>98.474999999999994</v>
      </c>
      <c r="E55" s="1990">
        <v>6.13</v>
      </c>
      <c r="F55" s="1990">
        <v>5.0166000000000004</v>
      </c>
      <c r="G55" s="1248"/>
    </row>
    <row r="56" spans="1:7" ht="12.75" customHeight="1">
      <c r="A56" s="1987" t="s">
        <v>1702</v>
      </c>
      <c r="B56" s="1988">
        <v>72.531739000000002</v>
      </c>
      <c r="C56" s="1988">
        <v>70</v>
      </c>
      <c r="D56" s="1989">
        <v>98.504999999999995</v>
      </c>
      <c r="E56" s="1990">
        <v>6</v>
      </c>
      <c r="F56" s="1990">
        <v>4.9412000000000003</v>
      </c>
      <c r="G56" s="1248"/>
    </row>
    <row r="57" spans="1:7" ht="12.75" customHeight="1">
      <c r="A57" s="1987" t="s">
        <v>1703</v>
      </c>
      <c r="B57" s="1988">
        <v>185.52499299999999</v>
      </c>
      <c r="C57" s="1988">
        <v>100</v>
      </c>
      <c r="D57" s="1989">
        <v>94.849000000000004</v>
      </c>
      <c r="E57" s="1990">
        <v>5.37</v>
      </c>
      <c r="F57" s="1990">
        <v>3.8883000000000001</v>
      </c>
      <c r="G57" s="1248"/>
    </row>
    <row r="58" spans="1:7" ht="12.75" customHeight="1">
      <c r="A58" s="1987" t="s">
        <v>1704</v>
      </c>
      <c r="B58" s="1988">
        <v>59.776890999999999</v>
      </c>
      <c r="C58" s="1988">
        <v>35</v>
      </c>
      <c r="D58" s="1989">
        <v>97.18</v>
      </c>
      <c r="E58" s="1990">
        <v>5.74</v>
      </c>
      <c r="F58" s="1990">
        <v>4.4363000000000001</v>
      </c>
      <c r="G58" s="1248"/>
    </row>
    <row r="59" spans="1:7" ht="12.75" customHeight="1">
      <c r="A59" s="1987" t="s">
        <v>1705</v>
      </c>
      <c r="B59" s="1988">
        <v>70</v>
      </c>
      <c r="C59" s="1988">
        <v>70</v>
      </c>
      <c r="D59" s="1989">
        <v>98.524000000000001</v>
      </c>
      <c r="E59" s="1990">
        <v>5.93</v>
      </c>
      <c r="F59" s="1990">
        <v>4.6913</v>
      </c>
      <c r="G59" s="1248"/>
    </row>
    <row r="60" spans="1:7" ht="20.25" customHeight="1">
      <c r="A60" s="1987" t="s">
        <v>1707</v>
      </c>
      <c r="B60" s="1988">
        <v>70</v>
      </c>
      <c r="C60" s="1988">
        <v>70</v>
      </c>
      <c r="D60" s="1989">
        <v>98.497</v>
      </c>
      <c r="E60" s="1990">
        <v>6.04</v>
      </c>
      <c r="F60" s="1990">
        <v>4.5933999999999999</v>
      </c>
      <c r="G60" s="1248"/>
    </row>
    <row r="61" spans="1:7" ht="12.75" customHeight="1">
      <c r="A61" s="1987" t="s">
        <v>1708</v>
      </c>
      <c r="B61" s="1988">
        <v>112.098422</v>
      </c>
      <c r="C61" s="1988">
        <v>70</v>
      </c>
      <c r="D61" s="1989">
        <v>98.53</v>
      </c>
      <c r="E61" s="1990">
        <v>5.9</v>
      </c>
      <c r="F61" s="1990">
        <v>4.6473000000000004</v>
      </c>
      <c r="G61" s="1248"/>
    </row>
    <row r="62" spans="1:7" ht="12.75" customHeight="1">
      <c r="A62" s="1987" t="s">
        <v>1709</v>
      </c>
      <c r="B62" s="1988">
        <v>136.881653</v>
      </c>
      <c r="C62" s="1988">
        <v>100</v>
      </c>
      <c r="D62" s="1989">
        <v>94.808000000000007</v>
      </c>
      <c r="E62" s="1990">
        <v>5.42</v>
      </c>
      <c r="F62" s="1990">
        <v>4.1397000000000004</v>
      </c>
      <c r="G62" s="1248"/>
    </row>
    <row r="63" spans="1:7" ht="12.75" customHeight="1">
      <c r="A63" s="1987" t="s">
        <v>1710</v>
      </c>
      <c r="B63" s="1988">
        <v>134.426491</v>
      </c>
      <c r="C63" s="1988">
        <v>70</v>
      </c>
      <c r="D63" s="1989">
        <v>98.534999999999997</v>
      </c>
      <c r="E63" s="1990">
        <v>5.88</v>
      </c>
      <c r="F63" s="1990">
        <v>4.6315999999999997</v>
      </c>
      <c r="G63" s="1248"/>
    </row>
    <row r="64" spans="1:7" ht="12.75" customHeight="1">
      <c r="A64" s="1987" t="s">
        <v>1711</v>
      </c>
      <c r="B64" s="1988">
        <v>74.976399999999998</v>
      </c>
      <c r="C64" s="1988">
        <v>70</v>
      </c>
      <c r="D64" s="1989">
        <v>98.518000000000001</v>
      </c>
      <c r="E64" s="1990">
        <v>5.95</v>
      </c>
      <c r="F64" s="1990">
        <v>4.6045999999999996</v>
      </c>
      <c r="G64" s="1248"/>
    </row>
    <row r="65" spans="1:7" ht="20.25" customHeight="1">
      <c r="A65" s="1987" t="s">
        <v>1715</v>
      </c>
      <c r="B65" s="1988">
        <v>35.5</v>
      </c>
      <c r="C65" s="1988">
        <v>35</v>
      </c>
      <c r="D65" s="1989">
        <v>97.150999999999996</v>
      </c>
      <c r="E65" s="1990">
        <v>5.8</v>
      </c>
      <c r="F65" s="1990">
        <v>4.4268000000000001</v>
      </c>
      <c r="G65" s="1248"/>
    </row>
    <row r="66" spans="1:7" ht="12.75" customHeight="1">
      <c r="A66" s="1987" t="s">
        <v>1716</v>
      </c>
      <c r="B66" s="1988">
        <v>76.069528000000005</v>
      </c>
      <c r="C66" s="1988">
        <v>70</v>
      </c>
      <c r="D66" s="1989">
        <v>98.534999999999997</v>
      </c>
      <c r="E66" s="1990">
        <v>5.88</v>
      </c>
      <c r="F66" s="1990">
        <v>4.5542999999999996</v>
      </c>
      <c r="G66" s="1248"/>
    </row>
    <row r="67" spans="1:7" ht="12.75" customHeight="1">
      <c r="A67" s="1987" t="s">
        <v>1717</v>
      </c>
      <c r="B67" s="1988">
        <v>98.866769000000005</v>
      </c>
      <c r="C67" s="1988">
        <v>70</v>
      </c>
      <c r="D67" s="1989">
        <v>98.567999999999998</v>
      </c>
      <c r="E67" s="1990">
        <v>5.75</v>
      </c>
      <c r="F67" s="1990">
        <v>4.4911000000000003</v>
      </c>
      <c r="G67" s="1248"/>
    </row>
    <row r="68" spans="1:7" ht="12.75" customHeight="1">
      <c r="A68" s="1987" t="s">
        <v>1718</v>
      </c>
      <c r="B68" s="1988">
        <v>195.625899</v>
      </c>
      <c r="C68" s="1988">
        <v>100</v>
      </c>
      <c r="D68" s="1989">
        <v>94.83</v>
      </c>
      <c r="E68" s="1990">
        <v>5.39</v>
      </c>
      <c r="F68" s="1990">
        <v>4.2884000000000002</v>
      </c>
      <c r="G68" s="1248"/>
    </row>
    <row r="69" spans="1:7" ht="12.75" customHeight="1">
      <c r="A69" s="1987" t="s">
        <v>1719</v>
      </c>
      <c r="B69" s="1988">
        <v>67.423636000000002</v>
      </c>
      <c r="C69" s="1988">
        <v>35</v>
      </c>
      <c r="D69" s="1989">
        <v>97.236000000000004</v>
      </c>
      <c r="E69" s="1990">
        <v>5.62</v>
      </c>
      <c r="F69" s="1990">
        <v>4.4305000000000003</v>
      </c>
      <c r="G69" s="1248"/>
    </row>
    <row r="70" spans="1:7" ht="12.75" customHeight="1">
      <c r="A70" s="1987" t="s">
        <v>1720</v>
      </c>
      <c r="B70" s="1988">
        <v>76.443374000000006</v>
      </c>
      <c r="C70" s="1988">
        <v>70</v>
      </c>
      <c r="D70" s="1989">
        <v>98.555000000000007</v>
      </c>
      <c r="E70" s="1990">
        <v>5.8</v>
      </c>
      <c r="F70" s="1990">
        <v>4.5209000000000001</v>
      </c>
      <c r="G70" s="1248"/>
    </row>
    <row r="71" spans="1:7" ht="20.25" customHeight="1">
      <c r="A71" s="1987" t="s">
        <v>1724</v>
      </c>
      <c r="B71" s="1988">
        <v>95.588975000000005</v>
      </c>
      <c r="C71" s="1988">
        <v>70</v>
      </c>
      <c r="D71" s="1989">
        <v>98.563000000000002</v>
      </c>
      <c r="E71" s="1990">
        <v>5.77</v>
      </c>
      <c r="F71" s="1990">
        <v>4.4661999999999997</v>
      </c>
      <c r="G71" s="1248"/>
    </row>
    <row r="72" spans="1:7" ht="12.75" customHeight="1">
      <c r="A72" s="1987" t="s">
        <v>1725</v>
      </c>
      <c r="B72" s="1988">
        <v>70</v>
      </c>
      <c r="C72" s="1988">
        <v>70</v>
      </c>
      <c r="D72" s="1989">
        <v>98.546000000000006</v>
      </c>
      <c r="E72" s="1990">
        <v>5.83</v>
      </c>
      <c r="F72" s="1990">
        <v>4.3487</v>
      </c>
      <c r="G72" s="1248"/>
    </row>
    <row r="73" spans="1:7" ht="12.75" customHeight="1">
      <c r="A73" s="1987" t="s">
        <v>1726</v>
      </c>
      <c r="B73" s="1988">
        <v>137.322078</v>
      </c>
      <c r="C73" s="1988">
        <v>100</v>
      </c>
      <c r="D73" s="1989">
        <v>94.804000000000002</v>
      </c>
      <c r="E73" s="1990">
        <v>5.42</v>
      </c>
      <c r="F73" s="1990">
        <v>4.1486999999999998</v>
      </c>
      <c r="G73" s="1248"/>
    </row>
    <row r="74" spans="1:7" ht="12.75" customHeight="1">
      <c r="A74" s="1987" t="s">
        <v>1727</v>
      </c>
      <c r="B74" s="1988">
        <v>35.753999999999998</v>
      </c>
      <c r="C74" s="1988">
        <v>35</v>
      </c>
      <c r="D74" s="1989">
        <v>97.233000000000004</v>
      </c>
      <c r="E74" s="1990">
        <v>5.63</v>
      </c>
      <c r="F74" s="1990">
        <v>4.2774999999999999</v>
      </c>
      <c r="G74" s="1248"/>
    </row>
    <row r="75" spans="1:7" ht="12.75" customHeight="1">
      <c r="A75" s="1987" t="s">
        <v>1728</v>
      </c>
      <c r="B75" s="1988">
        <v>90.189785999999998</v>
      </c>
      <c r="C75" s="1988">
        <v>70</v>
      </c>
      <c r="D75" s="1989">
        <v>98.585999999999999</v>
      </c>
      <c r="E75" s="1990">
        <v>5.68</v>
      </c>
      <c r="F75" s="1990">
        <v>4.3273999999999999</v>
      </c>
      <c r="G75" s="1248"/>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13" activePane="bottomRight" state="frozen"/>
      <selection activeCell="B12" sqref="B12"/>
      <selection pane="topRight" activeCell="B12" sqref="B12"/>
      <selection pane="bottomLeft" activeCell="B12" sqref="B12"/>
      <selection pane="bottomRight" activeCell="L26" sqref="L26"/>
    </sheetView>
  </sheetViews>
  <sheetFormatPr defaultColWidth="9.140625" defaultRowHeight="12.75"/>
  <cols>
    <col min="1" max="2" width="9.7109375" style="381" customWidth="1"/>
    <col min="3" max="8" width="11.7109375" style="381" customWidth="1"/>
    <col min="9" max="9" width="13.7109375" style="381" customWidth="1"/>
    <col min="10" max="15" width="11.7109375" style="381" customWidth="1"/>
    <col min="16" max="17" width="13.85546875" style="381" customWidth="1"/>
    <col min="18" max="18" width="9.28515625" style="381" bestFit="1" customWidth="1"/>
    <col min="19" max="16384" width="9.140625" style="381"/>
  </cols>
  <sheetData>
    <row r="1" spans="1:17" ht="19.5">
      <c r="A1" s="1977" t="s">
        <v>723</v>
      </c>
      <c r="B1" s="387"/>
      <c r="C1" s="382"/>
      <c r="D1" s="382"/>
      <c r="E1" s="382"/>
      <c r="F1" s="382"/>
      <c r="G1" s="382"/>
      <c r="H1" s="382"/>
      <c r="I1" s="382"/>
      <c r="J1" s="382"/>
      <c r="K1" s="382"/>
      <c r="L1" s="382"/>
      <c r="M1" s="382"/>
      <c r="N1" s="382"/>
      <c r="O1" s="382"/>
      <c r="P1" s="382"/>
      <c r="Q1" s="382"/>
    </row>
    <row r="2" spans="1:17" ht="19.5">
      <c r="A2" s="1978" t="s">
        <v>27</v>
      </c>
      <c r="B2" s="387"/>
      <c r="C2" s="382"/>
      <c r="D2" s="382"/>
      <c r="E2" s="382"/>
      <c r="F2" s="382"/>
      <c r="G2" s="382"/>
      <c r="H2" s="382"/>
      <c r="I2" s="382"/>
      <c r="J2" s="382"/>
      <c r="K2" s="382"/>
      <c r="L2" s="382"/>
      <c r="M2" s="382"/>
      <c r="N2" s="382"/>
      <c r="O2" s="382"/>
      <c r="P2" s="382"/>
      <c r="Q2" s="382"/>
    </row>
    <row r="3" spans="1:17" ht="19.5">
      <c r="A3" s="1977"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373</v>
      </c>
      <c r="B7" s="387"/>
      <c r="P7" s="360"/>
      <c r="Q7" s="608" t="s">
        <v>374</v>
      </c>
    </row>
    <row r="8" spans="1:17" s="616" customFormat="1" ht="23.25" customHeight="1">
      <c r="A8" s="609"/>
      <c r="B8" s="610"/>
      <c r="C8" s="611" t="s">
        <v>724</v>
      </c>
      <c r="D8" s="891"/>
      <c r="E8" s="612"/>
      <c r="F8" s="613"/>
      <c r="G8" s="891"/>
      <c r="H8" s="613"/>
      <c r="I8" s="614" t="s">
        <v>725</v>
      </c>
      <c r="J8" s="611" t="s">
        <v>726</v>
      </c>
      <c r="K8" s="891"/>
      <c r="L8" s="612"/>
      <c r="M8" s="613"/>
      <c r="N8" s="891"/>
      <c r="O8" s="613"/>
      <c r="P8" s="614" t="s">
        <v>727</v>
      </c>
      <c r="Q8" s="615"/>
    </row>
    <row r="9" spans="1:17" s="616" customFormat="1" ht="19.5" customHeight="1">
      <c r="A9" s="617"/>
      <c r="C9" s="618" t="s">
        <v>339</v>
      </c>
      <c r="D9" s="619"/>
      <c r="E9" s="620"/>
      <c r="F9" s="618" t="s">
        <v>341</v>
      </c>
      <c r="G9" s="619"/>
      <c r="H9" s="620"/>
      <c r="I9" s="889"/>
      <c r="J9" s="621" t="s">
        <v>345</v>
      </c>
      <c r="K9" s="619"/>
      <c r="L9" s="620"/>
      <c r="M9" s="622" t="s">
        <v>343</v>
      </c>
      <c r="N9" s="619"/>
      <c r="O9" s="620"/>
      <c r="P9" s="889"/>
      <c r="Q9" s="890"/>
    </row>
    <row r="10" spans="1:17" s="616" customFormat="1" ht="19.5" customHeight="1">
      <c r="A10" s="396" t="s">
        <v>383</v>
      </c>
      <c r="B10" s="397"/>
      <c r="C10" s="623" t="s">
        <v>728</v>
      </c>
      <c r="D10" s="624"/>
      <c r="E10" s="625"/>
      <c r="F10" s="623" t="s">
        <v>729</v>
      </c>
      <c r="G10" s="626"/>
      <c r="H10" s="625"/>
      <c r="I10" s="627" t="s">
        <v>730</v>
      </c>
      <c r="J10" s="628" t="s">
        <v>731</v>
      </c>
      <c r="K10" s="629"/>
      <c r="L10" s="630"/>
      <c r="M10" s="628" t="s">
        <v>732</v>
      </c>
      <c r="N10" s="629"/>
      <c r="O10" s="630"/>
      <c r="P10" s="631" t="s">
        <v>730</v>
      </c>
      <c r="Q10" s="631" t="s">
        <v>386</v>
      </c>
    </row>
    <row r="11" spans="1:17" s="616" customFormat="1" ht="21.2" customHeight="1">
      <c r="A11" s="632" t="s">
        <v>391</v>
      </c>
      <c r="B11" s="633"/>
      <c r="C11" s="890" t="s">
        <v>733</v>
      </c>
      <c r="D11" s="890" t="s">
        <v>734</v>
      </c>
      <c r="E11" s="890" t="s">
        <v>735</v>
      </c>
      <c r="F11" s="890" t="s">
        <v>733</v>
      </c>
      <c r="G11" s="890" t="s">
        <v>734</v>
      </c>
      <c r="H11" s="890" t="s">
        <v>735</v>
      </c>
      <c r="I11" s="890" t="s">
        <v>736</v>
      </c>
      <c r="J11" s="890" t="s">
        <v>733</v>
      </c>
      <c r="K11" s="890" t="s">
        <v>734</v>
      </c>
      <c r="L11" s="890" t="s">
        <v>735</v>
      </c>
      <c r="M11" s="890" t="s">
        <v>733</v>
      </c>
      <c r="N11" s="890" t="s">
        <v>734</v>
      </c>
      <c r="O11" s="890" t="s">
        <v>735</v>
      </c>
      <c r="P11" s="890" t="s">
        <v>736</v>
      </c>
      <c r="Q11" s="890" t="s">
        <v>737</v>
      </c>
    </row>
    <row r="12" spans="1:17" s="616" customFormat="1" ht="31.5">
      <c r="A12" s="617"/>
      <c r="B12" s="634"/>
      <c r="C12" s="890" t="s">
        <v>738</v>
      </c>
      <c r="D12" s="887" t="s">
        <v>739</v>
      </c>
      <c r="E12" s="890" t="s">
        <v>740</v>
      </c>
      <c r="F12" s="890" t="s">
        <v>738</v>
      </c>
      <c r="G12" s="887" t="s">
        <v>739</v>
      </c>
      <c r="H12" s="890" t="s">
        <v>740</v>
      </c>
      <c r="I12" s="635" t="s">
        <v>740</v>
      </c>
      <c r="J12" s="573" t="s">
        <v>738</v>
      </c>
      <c r="K12" s="888" t="s">
        <v>739</v>
      </c>
      <c r="L12" s="573" t="s">
        <v>740</v>
      </c>
      <c r="M12" s="573" t="s">
        <v>738</v>
      </c>
      <c r="N12" s="888" t="s">
        <v>739</v>
      </c>
      <c r="O12" s="573" t="s">
        <v>740</v>
      </c>
      <c r="P12" s="636" t="s">
        <v>740</v>
      </c>
      <c r="Q12" s="635"/>
    </row>
    <row r="13" spans="1:17" s="148" customFormat="1" ht="20.25" customHeight="1">
      <c r="A13" s="1979">
        <v>2015</v>
      </c>
      <c r="B13" s="1980"/>
      <c r="C13" s="637">
        <v>200</v>
      </c>
      <c r="D13" s="637">
        <v>914</v>
      </c>
      <c r="E13" s="642">
        <v>3867</v>
      </c>
      <c r="F13" s="1188">
        <v>3405</v>
      </c>
      <c r="G13" s="1189">
        <v>3885</v>
      </c>
      <c r="H13" s="642">
        <v>1710</v>
      </c>
      <c r="I13" s="638">
        <v>5777</v>
      </c>
      <c r="J13" s="637">
        <v>358</v>
      </c>
      <c r="K13" s="637">
        <v>844</v>
      </c>
      <c r="L13" s="642">
        <v>1348</v>
      </c>
      <c r="M13" s="637">
        <v>474</v>
      </c>
      <c r="N13" s="637">
        <v>495</v>
      </c>
      <c r="O13" s="637">
        <v>129</v>
      </c>
      <c r="P13" s="642">
        <v>1476.9</v>
      </c>
      <c r="Q13" s="639">
        <v>7053.9</v>
      </c>
    </row>
    <row r="14" spans="1:17" s="148" customFormat="1" ht="15.75">
      <c r="A14" s="1981">
        <v>2016</v>
      </c>
      <c r="B14" s="1982"/>
      <c r="C14" s="640">
        <v>150</v>
      </c>
      <c r="D14" s="642">
        <v>1386.6</v>
      </c>
      <c r="E14" s="642">
        <v>5103.6000000000004</v>
      </c>
      <c r="F14" s="642">
        <v>4020</v>
      </c>
      <c r="G14" s="642">
        <v>4095</v>
      </c>
      <c r="H14" s="642">
        <v>1785</v>
      </c>
      <c r="I14" s="641">
        <v>6888.6</v>
      </c>
      <c r="J14" s="640">
        <v>512</v>
      </c>
      <c r="K14" s="640">
        <v>851.56</v>
      </c>
      <c r="L14" s="1189">
        <f t="shared" ref="L14:L19" si="0">L13-J14+K14</f>
        <v>1687.56</v>
      </c>
      <c r="M14" s="640">
        <v>516</v>
      </c>
      <c r="N14" s="640">
        <v>516</v>
      </c>
      <c r="O14" s="640">
        <v>129</v>
      </c>
      <c r="P14" s="642">
        <v>1816.8</v>
      </c>
      <c r="Q14" s="642">
        <v>8705.4</v>
      </c>
    </row>
    <row r="15" spans="1:17" s="148" customFormat="1" ht="15.75">
      <c r="A15" s="1981">
        <v>2017</v>
      </c>
      <c r="B15" s="1982"/>
      <c r="C15" s="640">
        <v>300</v>
      </c>
      <c r="D15" s="642">
        <v>1622</v>
      </c>
      <c r="E15" s="642">
        <v>6425.6</v>
      </c>
      <c r="F15" s="642">
        <v>4130</v>
      </c>
      <c r="G15" s="642">
        <v>4405</v>
      </c>
      <c r="H15" s="642">
        <v>2060</v>
      </c>
      <c r="I15" s="641">
        <v>8485.6</v>
      </c>
      <c r="J15" s="640">
        <v>472</v>
      </c>
      <c r="K15" s="640">
        <v>756.6</v>
      </c>
      <c r="L15" s="1189">
        <f t="shared" si="0"/>
        <v>1972.1599999999999</v>
      </c>
      <c r="M15" s="640">
        <v>516</v>
      </c>
      <c r="N15" s="640">
        <v>516</v>
      </c>
      <c r="O15" s="640">
        <v>129</v>
      </c>
      <c r="P15" s="642">
        <v>2101.4</v>
      </c>
      <c r="Q15" s="642">
        <v>10587</v>
      </c>
    </row>
    <row r="16" spans="1:17" s="148" customFormat="1" ht="16.5" customHeight="1">
      <c r="A16" s="872">
        <v>2018</v>
      </c>
      <c r="B16" s="440"/>
      <c r="C16" s="1187">
        <v>100</v>
      </c>
      <c r="D16" s="1187">
        <v>638</v>
      </c>
      <c r="E16" s="642">
        <v>6963.6</v>
      </c>
      <c r="F16" s="1188">
        <v>4370</v>
      </c>
      <c r="G16" s="1189">
        <v>4420</v>
      </c>
      <c r="H16" s="1189">
        <v>2110</v>
      </c>
      <c r="I16" s="1189">
        <v>9073.6</v>
      </c>
      <c r="J16" s="1187">
        <v>694</v>
      </c>
      <c r="K16" s="1187">
        <v>976</v>
      </c>
      <c r="L16" s="1189">
        <f t="shared" si="0"/>
        <v>2254.16</v>
      </c>
      <c r="M16" s="1189">
        <v>516</v>
      </c>
      <c r="N16" s="1187">
        <v>516</v>
      </c>
      <c r="O16" s="1187">
        <v>129</v>
      </c>
      <c r="P16" s="1189">
        <v>2383.4</v>
      </c>
      <c r="Q16" s="1189">
        <v>11457</v>
      </c>
    </row>
    <row r="17" spans="1:17" s="148" customFormat="1" ht="16.5" customHeight="1">
      <c r="A17" s="872">
        <v>2019</v>
      </c>
      <c r="B17" s="440"/>
      <c r="C17" s="1187">
        <v>485</v>
      </c>
      <c r="D17" s="1187">
        <v>861</v>
      </c>
      <c r="E17" s="642">
        <v>7339.6</v>
      </c>
      <c r="F17" s="1188">
        <v>4420</v>
      </c>
      <c r="G17" s="1189">
        <v>4420</v>
      </c>
      <c r="H17" s="1189">
        <v>2110</v>
      </c>
      <c r="I17" s="1189">
        <v>9449.6</v>
      </c>
      <c r="J17" s="1187">
        <v>475.6</v>
      </c>
      <c r="K17" s="1187">
        <v>688</v>
      </c>
      <c r="L17" s="1189">
        <f t="shared" si="0"/>
        <v>2466.56</v>
      </c>
      <c r="M17" s="1189">
        <v>516</v>
      </c>
      <c r="N17" s="1187">
        <v>516</v>
      </c>
      <c r="O17" s="1187">
        <v>129</v>
      </c>
      <c r="P17" s="1189">
        <v>2595.8000000000002</v>
      </c>
      <c r="Q17" s="1189">
        <v>12045.4</v>
      </c>
    </row>
    <row r="18" spans="1:17" s="148" customFormat="1" ht="16.5" customHeight="1">
      <c r="A18" s="872">
        <v>2020</v>
      </c>
      <c r="B18" s="440"/>
      <c r="C18" s="1187">
        <v>920</v>
      </c>
      <c r="D18" s="1187">
        <v>1202</v>
      </c>
      <c r="E18" s="642">
        <v>7621.6</v>
      </c>
      <c r="F18" s="1188">
        <v>4110</v>
      </c>
      <c r="G18" s="1189">
        <v>4110</v>
      </c>
      <c r="H18" s="1189">
        <v>2110</v>
      </c>
      <c r="I18" s="1189">
        <v>9731.6</v>
      </c>
      <c r="J18" s="1187">
        <v>286</v>
      </c>
      <c r="K18" s="1187">
        <v>1038</v>
      </c>
      <c r="L18" s="1189">
        <f t="shared" si="0"/>
        <v>3218.56</v>
      </c>
      <c r="M18" s="1189">
        <v>473</v>
      </c>
      <c r="N18" s="1187">
        <v>473</v>
      </c>
      <c r="O18" s="1187">
        <v>129</v>
      </c>
      <c r="P18" s="1189">
        <v>3347.8</v>
      </c>
      <c r="Q18" s="1189">
        <v>13079.400000000001</v>
      </c>
    </row>
    <row r="19" spans="1:17" s="148" customFormat="1" ht="16.5" customHeight="1">
      <c r="A19" s="872">
        <v>2021</v>
      </c>
      <c r="B19" s="440"/>
      <c r="C19" s="1187">
        <v>866.6</v>
      </c>
      <c r="D19" s="1187">
        <v>2304</v>
      </c>
      <c r="E19" s="642">
        <v>9059</v>
      </c>
      <c r="F19" s="1188">
        <v>4420</v>
      </c>
      <c r="G19" s="1189">
        <v>4420</v>
      </c>
      <c r="H19" s="1189">
        <v>2110</v>
      </c>
      <c r="I19" s="1189">
        <v>11169</v>
      </c>
      <c r="J19" s="1187">
        <v>600</v>
      </c>
      <c r="K19" s="1187">
        <v>500</v>
      </c>
      <c r="L19" s="1189">
        <f t="shared" si="0"/>
        <v>3118.56</v>
      </c>
      <c r="M19" s="1189">
        <v>516</v>
      </c>
      <c r="N19" s="1187">
        <v>516</v>
      </c>
      <c r="O19" s="1187">
        <v>129</v>
      </c>
      <c r="P19" s="1189">
        <v>3247.8</v>
      </c>
      <c r="Q19" s="1189">
        <v>14416.8</v>
      </c>
    </row>
    <row r="20" spans="1:17" s="148" customFormat="1" ht="16.5" customHeight="1">
      <c r="A20" s="872">
        <v>2022</v>
      </c>
      <c r="B20" s="440"/>
      <c r="C20" s="1187">
        <v>1252</v>
      </c>
      <c r="D20" s="1187">
        <v>876</v>
      </c>
      <c r="E20" s="642">
        <v>8683</v>
      </c>
      <c r="F20" s="1188">
        <v>4420</v>
      </c>
      <c r="G20" s="1189">
        <v>4320</v>
      </c>
      <c r="H20" s="1189">
        <v>2010</v>
      </c>
      <c r="I20" s="1189">
        <v>10693</v>
      </c>
      <c r="J20" s="1187">
        <v>312</v>
      </c>
      <c r="K20" s="1187">
        <v>443.6</v>
      </c>
      <c r="L20" s="1189">
        <v>3250.16</v>
      </c>
      <c r="M20" s="1189">
        <v>516</v>
      </c>
      <c r="N20" s="1187">
        <v>516</v>
      </c>
      <c r="O20" s="1187">
        <v>129</v>
      </c>
      <c r="P20" s="1189">
        <v>3379.8</v>
      </c>
      <c r="Q20" s="1189">
        <v>14072.8</v>
      </c>
    </row>
    <row r="21" spans="1:17" s="148" customFormat="1" ht="16.5" customHeight="1">
      <c r="A21" s="872">
        <v>2023</v>
      </c>
      <c r="B21" s="440"/>
      <c r="C21" s="1187">
        <f>SUM(C23:C26)</f>
        <v>1640</v>
      </c>
      <c r="D21" s="1187">
        <f>SUM(D23:D26)</f>
        <v>2292</v>
      </c>
      <c r="E21" s="642">
        <f>E20-C21+D21</f>
        <v>9335</v>
      </c>
      <c r="F21" s="1188">
        <f>SUM(F23:F26)</f>
        <v>4320</v>
      </c>
      <c r="G21" s="1189">
        <f>SUM(G23:G26)</f>
        <v>4420</v>
      </c>
      <c r="H21" s="1189">
        <f>H20-F21+G21</f>
        <v>2110</v>
      </c>
      <c r="I21" s="1189">
        <f>E21+H21</f>
        <v>11445</v>
      </c>
      <c r="J21" s="1187">
        <f>SUM(J23:J26)</f>
        <v>312</v>
      </c>
      <c r="K21" s="1187">
        <f>SUM(K23:K26)</f>
        <v>688</v>
      </c>
      <c r="L21" s="1189">
        <f>L20-J21+K21</f>
        <v>3626.16</v>
      </c>
      <c r="M21" s="1189">
        <f>SUM(M23:M26)</f>
        <v>516</v>
      </c>
      <c r="N21" s="1187">
        <f>SUM(N23:N26)</f>
        <v>516</v>
      </c>
      <c r="O21" s="1187">
        <f>O20-M21+N21</f>
        <v>129</v>
      </c>
      <c r="P21" s="1189">
        <f>L21+O21</f>
        <v>3755.16</v>
      </c>
      <c r="Q21" s="1189">
        <f>P21+I21</f>
        <v>15200.16</v>
      </c>
    </row>
    <row r="22" spans="1:17" s="148" customFormat="1" ht="16.5" customHeight="1">
      <c r="A22" s="1099">
        <v>2024</v>
      </c>
      <c r="B22" s="1100"/>
      <c r="C22" s="1101">
        <f>SUM(C27:C30)</f>
        <v>620</v>
      </c>
      <c r="D22" s="1101">
        <f>SUM(D27:D30)</f>
        <v>1748</v>
      </c>
      <c r="E22" s="1340">
        <f>E21-C22+D22</f>
        <v>10463</v>
      </c>
      <c r="F22" s="1102">
        <f>SUM(F27:F30)</f>
        <v>4420</v>
      </c>
      <c r="G22" s="1103">
        <f>SUM(G27:G30)</f>
        <v>4420</v>
      </c>
      <c r="H22" s="1103">
        <f>H21-F22+G22</f>
        <v>2110</v>
      </c>
      <c r="I22" s="1103">
        <f>E22+H22</f>
        <v>12573</v>
      </c>
      <c r="J22" s="1101">
        <f>SUM(J27:J30)</f>
        <v>1064</v>
      </c>
      <c r="K22" s="1101">
        <f>SUM(K27:K30)</f>
        <v>1346</v>
      </c>
      <c r="L22" s="1103">
        <f>L21-J22+K22</f>
        <v>3908.16</v>
      </c>
      <c r="M22" s="1103">
        <f>SUM(M27:M30)</f>
        <v>516</v>
      </c>
      <c r="N22" s="1101">
        <f>SUM(N27:N30)</f>
        <v>516</v>
      </c>
      <c r="O22" s="1101">
        <f>O21-M22+N22</f>
        <v>129</v>
      </c>
      <c r="P22" s="1103">
        <f>L22+O22</f>
        <v>4037.16</v>
      </c>
      <c r="Q22" s="1103">
        <f>P22+I22</f>
        <v>16610.16</v>
      </c>
    </row>
    <row r="23" spans="1:17" s="148" customFormat="1" ht="21" customHeight="1">
      <c r="A23" s="872">
        <v>2023</v>
      </c>
      <c r="B23" s="440" t="s">
        <v>243</v>
      </c>
      <c r="C23" s="1187">
        <v>0</v>
      </c>
      <c r="D23" s="1187">
        <v>0</v>
      </c>
      <c r="E23" s="642">
        <v>8683</v>
      </c>
      <c r="F23" s="1188">
        <v>1105</v>
      </c>
      <c r="G23" s="1189">
        <v>1105</v>
      </c>
      <c r="H23" s="1189">
        <v>2010</v>
      </c>
      <c r="I23" s="1189">
        <v>10693</v>
      </c>
      <c r="J23" s="1187">
        <v>78</v>
      </c>
      <c r="K23" s="1187">
        <v>78</v>
      </c>
      <c r="L23" s="1189">
        <v>3250.2</v>
      </c>
      <c r="M23" s="1189">
        <v>129</v>
      </c>
      <c r="N23" s="1187">
        <v>129</v>
      </c>
      <c r="O23" s="1187">
        <v>129</v>
      </c>
      <c r="P23" s="1189">
        <v>3379.8</v>
      </c>
      <c r="Q23" s="1189">
        <v>14072.8</v>
      </c>
    </row>
    <row r="24" spans="1:17" s="148" customFormat="1" ht="15.75">
      <c r="A24" s="872"/>
      <c r="B24" s="440" t="s">
        <v>244</v>
      </c>
      <c r="C24" s="1187">
        <v>688</v>
      </c>
      <c r="D24" s="1187">
        <v>964</v>
      </c>
      <c r="E24" s="642">
        <v>8959</v>
      </c>
      <c r="F24" s="1188">
        <v>1005</v>
      </c>
      <c r="G24" s="1189">
        <v>1105</v>
      </c>
      <c r="H24" s="1189">
        <v>2110</v>
      </c>
      <c r="I24" s="1189">
        <v>11069</v>
      </c>
      <c r="J24" s="1187">
        <v>78</v>
      </c>
      <c r="K24" s="1187">
        <v>454</v>
      </c>
      <c r="L24" s="1189">
        <v>3626.2</v>
      </c>
      <c r="M24" s="1189">
        <v>129</v>
      </c>
      <c r="N24" s="1187">
        <v>129</v>
      </c>
      <c r="O24" s="1187">
        <v>129</v>
      </c>
      <c r="P24" s="1189">
        <v>3755.8</v>
      </c>
      <c r="Q24" s="1189">
        <v>14824.8</v>
      </c>
    </row>
    <row r="25" spans="1:17" s="148" customFormat="1" ht="15.75">
      <c r="A25" s="872"/>
      <c r="B25" s="440" t="s">
        <v>245</v>
      </c>
      <c r="C25" s="1983">
        <v>752</v>
      </c>
      <c r="D25" s="1187">
        <v>564</v>
      </c>
      <c r="E25" s="1136">
        <v>8771</v>
      </c>
      <c r="F25" s="1188">
        <v>1105</v>
      </c>
      <c r="G25" s="1189">
        <v>1105</v>
      </c>
      <c r="H25" s="1189">
        <v>2110</v>
      </c>
      <c r="I25" s="1189">
        <v>10881</v>
      </c>
      <c r="J25" s="1187">
        <v>78</v>
      </c>
      <c r="K25" s="1187">
        <v>78</v>
      </c>
      <c r="L25" s="1189">
        <v>3626.2</v>
      </c>
      <c r="M25" s="1189">
        <v>129</v>
      </c>
      <c r="N25" s="1187">
        <v>129</v>
      </c>
      <c r="O25" s="1187">
        <v>129</v>
      </c>
      <c r="P25" s="1189">
        <v>3755.8</v>
      </c>
      <c r="Q25" s="1189">
        <v>14636.8</v>
      </c>
    </row>
    <row r="26" spans="1:17" s="148" customFormat="1" ht="15.75">
      <c r="A26" s="872"/>
      <c r="B26" s="440" t="s">
        <v>242</v>
      </c>
      <c r="C26" s="1187">
        <v>200</v>
      </c>
      <c r="D26" s="1187">
        <v>764</v>
      </c>
      <c r="E26" s="642">
        <v>9335</v>
      </c>
      <c r="F26" s="1188">
        <v>1105</v>
      </c>
      <c r="G26" s="1189">
        <v>1105</v>
      </c>
      <c r="H26" s="1189">
        <v>2110</v>
      </c>
      <c r="I26" s="1189">
        <v>11445</v>
      </c>
      <c r="J26" s="1187">
        <v>78</v>
      </c>
      <c r="K26" s="1187">
        <v>78</v>
      </c>
      <c r="L26" s="1189">
        <v>3626.2</v>
      </c>
      <c r="M26" s="1189">
        <v>129</v>
      </c>
      <c r="N26" s="1187">
        <v>129</v>
      </c>
      <c r="O26" s="1187">
        <v>129</v>
      </c>
      <c r="P26" s="1189">
        <v>3755.2</v>
      </c>
      <c r="Q26" s="1189">
        <v>15200.2</v>
      </c>
    </row>
    <row r="27" spans="1:17" s="148" customFormat="1" ht="21" customHeight="1">
      <c r="A27" s="872">
        <v>2024</v>
      </c>
      <c r="B27" s="440" t="s">
        <v>243</v>
      </c>
      <c r="C27" s="1187">
        <f>SUM(C32:C34)</f>
        <v>0</v>
      </c>
      <c r="D27" s="1187">
        <f>SUM(D32:D34)</f>
        <v>661</v>
      </c>
      <c r="E27" s="642">
        <f>E26-C27+D27</f>
        <v>9996</v>
      </c>
      <c r="F27" s="1188">
        <f>SUM(F32:F34)</f>
        <v>1105</v>
      </c>
      <c r="G27" s="1189">
        <f>SUM(G32:G34)</f>
        <v>1105</v>
      </c>
      <c r="H27" s="1189">
        <f>H26-F27+G27</f>
        <v>2110</v>
      </c>
      <c r="I27" s="1189">
        <f>E27+H27</f>
        <v>12106</v>
      </c>
      <c r="J27" s="1187">
        <f>SUM(J32:J34)</f>
        <v>454</v>
      </c>
      <c r="K27" s="1187">
        <f>SUM(K32:K34)</f>
        <v>454</v>
      </c>
      <c r="L27" s="1189">
        <f>L26-J27+K27</f>
        <v>3626.2</v>
      </c>
      <c r="M27" s="1189">
        <f>SUM(M32:M34)</f>
        <v>129</v>
      </c>
      <c r="N27" s="1187">
        <f>SUM(N32:N34)</f>
        <v>129</v>
      </c>
      <c r="O27" s="1187">
        <f>O26-M27+N27</f>
        <v>129</v>
      </c>
      <c r="P27" s="1189">
        <f>L27+O27</f>
        <v>3755.2</v>
      </c>
      <c r="Q27" s="1189">
        <f>I27+P27</f>
        <v>15861.2</v>
      </c>
    </row>
    <row r="28" spans="1:17" s="148" customFormat="1" ht="15" customHeight="1">
      <c r="A28" s="872"/>
      <c r="B28" s="440" t="s">
        <v>244</v>
      </c>
      <c r="C28" s="1187">
        <f>SUM(C35:C37)</f>
        <v>285</v>
      </c>
      <c r="D28" s="1187">
        <f>SUM(D35:D37)</f>
        <v>0</v>
      </c>
      <c r="E28" s="642">
        <f>E27-C28+D28</f>
        <v>9711</v>
      </c>
      <c r="F28" s="1188">
        <f>SUM(F35:F37)</f>
        <v>1105</v>
      </c>
      <c r="G28" s="1189">
        <f>SUM(G35:G37)</f>
        <v>1105</v>
      </c>
      <c r="H28" s="1189">
        <f>H27-F28+G28</f>
        <v>2110</v>
      </c>
      <c r="I28" s="1189">
        <f>E28+H28</f>
        <v>11821</v>
      </c>
      <c r="J28" s="1187">
        <f>SUM(J35:J37)</f>
        <v>78</v>
      </c>
      <c r="K28" s="1187">
        <f>SUM(K35:K37)</f>
        <v>78</v>
      </c>
      <c r="L28" s="1189">
        <f>L27-J28+K28</f>
        <v>3626.2</v>
      </c>
      <c r="M28" s="1189">
        <f>SUM(M35:M37)</f>
        <v>129</v>
      </c>
      <c r="N28" s="1187">
        <f>SUM(N35:N37)</f>
        <v>129</v>
      </c>
      <c r="O28" s="1187">
        <f>O27-M28+N28</f>
        <v>129</v>
      </c>
      <c r="P28" s="1189">
        <f>L28+O28</f>
        <v>3755.2</v>
      </c>
      <c r="Q28" s="1189">
        <f>I28+P28</f>
        <v>15576.2</v>
      </c>
    </row>
    <row r="29" spans="1:17" s="148" customFormat="1" ht="15" customHeight="1">
      <c r="A29" s="872"/>
      <c r="B29" s="440" t="s">
        <v>245</v>
      </c>
      <c r="C29" s="1187">
        <f>SUM(C38:C40)</f>
        <v>150</v>
      </c>
      <c r="D29" s="1187">
        <f>SUM(D38:D40)</f>
        <v>526</v>
      </c>
      <c r="E29" s="642">
        <f>E28-C29+D29</f>
        <v>10087</v>
      </c>
      <c r="F29" s="1188">
        <f>SUM(F38:F40)</f>
        <v>1105</v>
      </c>
      <c r="G29" s="1189">
        <f>SUM(G38:G40)</f>
        <v>1105</v>
      </c>
      <c r="H29" s="1189">
        <f>H28-F29+G29</f>
        <v>2110</v>
      </c>
      <c r="I29" s="1189">
        <f>E29+H29</f>
        <v>12197</v>
      </c>
      <c r="J29" s="1187">
        <f>SUM(J38:J40)</f>
        <v>78</v>
      </c>
      <c r="K29" s="1187">
        <f>SUM(K38:K40)</f>
        <v>78</v>
      </c>
      <c r="L29" s="1189">
        <f>L28-J29+K29</f>
        <v>3626.2</v>
      </c>
      <c r="M29" s="1189">
        <f>SUM(M38:M40)</f>
        <v>129</v>
      </c>
      <c r="N29" s="1187">
        <f>SUM(N38:N40)</f>
        <v>129</v>
      </c>
      <c r="O29" s="1187">
        <f>O28-M29+N29</f>
        <v>129</v>
      </c>
      <c r="P29" s="1189">
        <f>L29+O29</f>
        <v>3755.2</v>
      </c>
      <c r="Q29" s="1189">
        <f>I29+P29</f>
        <v>15952.2</v>
      </c>
    </row>
    <row r="30" spans="1:17" s="148" customFormat="1" ht="15" customHeight="1">
      <c r="A30" s="1099"/>
      <c r="B30" s="1100" t="s">
        <v>242</v>
      </c>
      <c r="C30" s="1101">
        <f>SUM(C41:C43)</f>
        <v>185</v>
      </c>
      <c r="D30" s="1101">
        <f>SUM(D41:D43)</f>
        <v>561</v>
      </c>
      <c r="E30" s="765">
        <f>E29-C30+D30</f>
        <v>10463</v>
      </c>
      <c r="F30" s="1102">
        <f>SUM(F41:F43)</f>
        <v>1105</v>
      </c>
      <c r="G30" s="1103">
        <f>SUM(G41:G43)</f>
        <v>1105</v>
      </c>
      <c r="H30" s="1103">
        <f>H29-F30+G30</f>
        <v>2110</v>
      </c>
      <c r="I30" s="1103">
        <f>E30+H30</f>
        <v>12573</v>
      </c>
      <c r="J30" s="1101">
        <f>SUM(J41:J43)</f>
        <v>454</v>
      </c>
      <c r="K30" s="1101">
        <f>SUM(K41:K43)</f>
        <v>736</v>
      </c>
      <c r="L30" s="1103">
        <f>L29-J30+K30</f>
        <v>3908.2</v>
      </c>
      <c r="M30" s="1103">
        <f>SUM(M41:M43)</f>
        <v>129</v>
      </c>
      <c r="N30" s="1101">
        <f>SUM(N41:N43)</f>
        <v>129</v>
      </c>
      <c r="O30" s="1101">
        <f>O29-M30+N30</f>
        <v>129</v>
      </c>
      <c r="P30" s="1103">
        <f>L30+O30</f>
        <v>4037.2</v>
      </c>
      <c r="Q30" s="1103">
        <f>I30+P30</f>
        <v>16610.2</v>
      </c>
    </row>
    <row r="31" spans="1:17" s="148" customFormat="1" ht="21" customHeight="1">
      <c r="A31" s="872">
        <v>2023</v>
      </c>
      <c r="B31" s="440" t="s">
        <v>426</v>
      </c>
      <c r="C31" s="1187">
        <v>0</v>
      </c>
      <c r="D31" s="1187">
        <v>564</v>
      </c>
      <c r="E31" s="642">
        <v>9335</v>
      </c>
      <c r="F31" s="1188">
        <v>345</v>
      </c>
      <c r="G31" s="1187">
        <v>345</v>
      </c>
      <c r="H31" s="1189">
        <v>2110</v>
      </c>
      <c r="I31" s="1189">
        <v>11445</v>
      </c>
      <c r="J31" s="1187">
        <v>26</v>
      </c>
      <c r="K31" s="1187">
        <v>26</v>
      </c>
      <c r="L31" s="1189">
        <v>3626.2</v>
      </c>
      <c r="M31" s="1189">
        <v>43</v>
      </c>
      <c r="N31" s="1187">
        <v>43</v>
      </c>
      <c r="O31" s="1187">
        <v>129</v>
      </c>
      <c r="P31" s="1189">
        <v>3755.2</v>
      </c>
      <c r="Q31" s="1189">
        <v>15200.2</v>
      </c>
    </row>
    <row r="32" spans="1:17" s="148" customFormat="1" ht="21" customHeight="1">
      <c r="A32" s="872">
        <v>2024</v>
      </c>
      <c r="B32" s="440" t="s">
        <v>427</v>
      </c>
      <c r="C32" s="1187">
        <v>0</v>
      </c>
      <c r="D32" s="1187">
        <v>0</v>
      </c>
      <c r="E32" s="642">
        <f t="shared" ref="E32" si="1">E31-C32+D32</f>
        <v>9335</v>
      </c>
      <c r="F32" s="1188">
        <v>415</v>
      </c>
      <c r="G32" s="1187">
        <v>415</v>
      </c>
      <c r="H32" s="1189">
        <f t="shared" ref="H32" si="2">H31-F32+G32</f>
        <v>2110</v>
      </c>
      <c r="I32" s="1189">
        <f t="shared" ref="I32" si="3">E32+H32</f>
        <v>11445</v>
      </c>
      <c r="J32" s="1187">
        <v>26</v>
      </c>
      <c r="K32" s="1187">
        <v>26</v>
      </c>
      <c r="L32" s="1189">
        <f t="shared" ref="L32" si="4">L31-J32+K32</f>
        <v>3626.2</v>
      </c>
      <c r="M32" s="1189">
        <v>43</v>
      </c>
      <c r="N32" s="1187">
        <v>43</v>
      </c>
      <c r="O32" s="1187">
        <f t="shared" ref="O32" si="5">O31-M32+N32</f>
        <v>129</v>
      </c>
      <c r="P32" s="1189">
        <f t="shared" ref="P32" si="6">L32+O32</f>
        <v>3755.2</v>
      </c>
      <c r="Q32" s="1189">
        <f t="shared" ref="Q32" si="7">I32+P32</f>
        <v>15200.2</v>
      </c>
    </row>
    <row r="33" spans="1:17" s="148" customFormat="1" ht="15.75">
      <c r="A33" s="872"/>
      <c r="B33" s="440" t="s">
        <v>416</v>
      </c>
      <c r="C33" s="1187">
        <v>0</v>
      </c>
      <c r="D33" s="1187">
        <v>376</v>
      </c>
      <c r="E33" s="642">
        <f t="shared" ref="E33" si="8">E32-C33+D33</f>
        <v>9711</v>
      </c>
      <c r="F33" s="1188">
        <v>345</v>
      </c>
      <c r="G33" s="1187">
        <v>345</v>
      </c>
      <c r="H33" s="1189">
        <f t="shared" ref="H33" si="9">H32-F33+G33</f>
        <v>2110</v>
      </c>
      <c r="I33" s="1189">
        <f t="shared" ref="I33" si="10">E33+H33</f>
        <v>11821</v>
      </c>
      <c r="J33" s="1187">
        <v>402</v>
      </c>
      <c r="K33" s="1187">
        <v>402</v>
      </c>
      <c r="L33" s="1189">
        <f t="shared" ref="L33" si="11">L32-J33+K33</f>
        <v>3626.2</v>
      </c>
      <c r="M33" s="1189">
        <v>43</v>
      </c>
      <c r="N33" s="1187">
        <v>43</v>
      </c>
      <c r="O33" s="1187">
        <f t="shared" ref="O33" si="12">O32-M33+N33</f>
        <v>129</v>
      </c>
      <c r="P33" s="1189">
        <f t="shared" ref="P33" si="13">L33+O33</f>
        <v>3755.2</v>
      </c>
      <c r="Q33" s="1189">
        <f t="shared" ref="Q33" si="14">I33+P33</f>
        <v>15576.2</v>
      </c>
    </row>
    <row r="34" spans="1:17" s="148" customFormat="1" ht="15.75">
      <c r="A34" s="872"/>
      <c r="B34" s="440" t="s">
        <v>417</v>
      </c>
      <c r="C34" s="1187">
        <v>0</v>
      </c>
      <c r="D34" s="1187">
        <v>285</v>
      </c>
      <c r="E34" s="642">
        <f t="shared" ref="E34" si="15">E33-C34+D34</f>
        <v>9996</v>
      </c>
      <c r="F34" s="1188">
        <v>345</v>
      </c>
      <c r="G34" s="1187">
        <v>345</v>
      </c>
      <c r="H34" s="1189">
        <f t="shared" ref="H34" si="16">H33-F34+G34</f>
        <v>2110</v>
      </c>
      <c r="I34" s="1189">
        <f t="shared" ref="I34" si="17">E34+H34</f>
        <v>12106</v>
      </c>
      <c r="J34" s="1187">
        <v>26</v>
      </c>
      <c r="K34" s="1187">
        <v>26</v>
      </c>
      <c r="L34" s="1189">
        <f t="shared" ref="L34" si="18">L33-J34+K34</f>
        <v>3626.2</v>
      </c>
      <c r="M34" s="1189">
        <v>43</v>
      </c>
      <c r="N34" s="1187">
        <v>43</v>
      </c>
      <c r="O34" s="1187">
        <f t="shared" ref="O34" si="19">O33-M34+N34</f>
        <v>129</v>
      </c>
      <c r="P34" s="1189">
        <f t="shared" ref="P34" si="20">L34+O34</f>
        <v>3755.2</v>
      </c>
      <c r="Q34" s="1189">
        <f t="shared" ref="Q34" si="21">I34+P34</f>
        <v>15861.2</v>
      </c>
    </row>
    <row r="35" spans="1:17" s="148" customFormat="1" ht="15.75">
      <c r="A35" s="872"/>
      <c r="B35" s="440" t="s">
        <v>418</v>
      </c>
      <c r="C35" s="1187">
        <v>0</v>
      </c>
      <c r="D35" s="1187">
        <v>0</v>
      </c>
      <c r="E35" s="642">
        <f t="shared" ref="E35" si="22">E34-C35+D35</f>
        <v>9996</v>
      </c>
      <c r="F35" s="1188">
        <v>310</v>
      </c>
      <c r="G35" s="1187">
        <v>310</v>
      </c>
      <c r="H35" s="1189">
        <f t="shared" ref="H35" si="23">H34-F35+G35</f>
        <v>2110</v>
      </c>
      <c r="I35" s="1189">
        <f t="shared" ref="I35" si="24">E35+H35</f>
        <v>12106</v>
      </c>
      <c r="J35" s="1187">
        <v>26</v>
      </c>
      <c r="K35" s="1187">
        <v>26</v>
      </c>
      <c r="L35" s="1189">
        <f t="shared" ref="L35" si="25">L34-J35+K35</f>
        <v>3626.2</v>
      </c>
      <c r="M35" s="1189">
        <v>43</v>
      </c>
      <c r="N35" s="1187">
        <v>43</v>
      </c>
      <c r="O35" s="1187">
        <f t="shared" ref="O35" si="26">O34-M35+N35</f>
        <v>129</v>
      </c>
      <c r="P35" s="1189">
        <f t="shared" ref="P35" si="27">L35+O35</f>
        <v>3755.2</v>
      </c>
      <c r="Q35" s="1189">
        <f t="shared" ref="Q35" si="28">I35+P35</f>
        <v>15861.2</v>
      </c>
    </row>
    <row r="36" spans="1:17" s="148" customFormat="1" ht="15.75">
      <c r="A36" s="872"/>
      <c r="B36" s="440" t="s">
        <v>419</v>
      </c>
      <c r="C36" s="1187">
        <v>285</v>
      </c>
      <c r="D36" s="1187">
        <v>0</v>
      </c>
      <c r="E36" s="642">
        <f t="shared" ref="E36" si="29">E35-C36+D36</f>
        <v>9711</v>
      </c>
      <c r="F36" s="1188">
        <v>450</v>
      </c>
      <c r="G36" s="1187">
        <v>450</v>
      </c>
      <c r="H36" s="1189">
        <f t="shared" ref="H36" si="30">H35-F36+G36</f>
        <v>2110</v>
      </c>
      <c r="I36" s="1189">
        <f t="shared" ref="I36" si="31">E36+H36</f>
        <v>11821</v>
      </c>
      <c r="J36" s="1187">
        <v>26</v>
      </c>
      <c r="K36" s="1187">
        <v>26</v>
      </c>
      <c r="L36" s="1189">
        <f t="shared" ref="L36" si="32">L35-J36+K36</f>
        <v>3626.2</v>
      </c>
      <c r="M36" s="1189">
        <v>43</v>
      </c>
      <c r="N36" s="1187">
        <v>43</v>
      </c>
      <c r="O36" s="1187">
        <f t="shared" ref="O36" si="33">O35-M36+N36</f>
        <v>129</v>
      </c>
      <c r="P36" s="1189">
        <f t="shared" ref="P36" si="34">L36+O36</f>
        <v>3755.2</v>
      </c>
      <c r="Q36" s="1189">
        <f t="shared" ref="Q36" si="35">I36+P36</f>
        <v>15576.2</v>
      </c>
    </row>
    <row r="37" spans="1:17" s="148" customFormat="1" ht="15.75">
      <c r="A37" s="872"/>
      <c r="B37" s="440" t="s">
        <v>420</v>
      </c>
      <c r="C37" s="1187">
        <v>0</v>
      </c>
      <c r="D37" s="1187">
        <v>0</v>
      </c>
      <c r="E37" s="642">
        <f t="shared" ref="E37:E38" si="36">E36-C37+D37</f>
        <v>9711</v>
      </c>
      <c r="F37" s="1188">
        <v>345</v>
      </c>
      <c r="G37" s="1187">
        <v>345</v>
      </c>
      <c r="H37" s="1189">
        <f t="shared" ref="H37:H38" si="37">H36-F37+G37</f>
        <v>2110</v>
      </c>
      <c r="I37" s="1189">
        <f t="shared" ref="I37:I38" si="38">E37+H37</f>
        <v>11821</v>
      </c>
      <c r="J37" s="1187">
        <v>26</v>
      </c>
      <c r="K37" s="1187">
        <v>26</v>
      </c>
      <c r="L37" s="1189">
        <f t="shared" ref="L37:L38" si="39">L36-J37+K37</f>
        <v>3626.2</v>
      </c>
      <c r="M37" s="1189">
        <v>43</v>
      </c>
      <c r="N37" s="1187">
        <v>43</v>
      </c>
      <c r="O37" s="1187">
        <f t="shared" ref="O37:O38" si="40">O36-M37+N37</f>
        <v>129</v>
      </c>
      <c r="P37" s="1189">
        <f t="shared" ref="P37" si="41">L37+O37</f>
        <v>3755.2</v>
      </c>
      <c r="Q37" s="1189">
        <f t="shared" ref="Q37" si="42">I37+P37</f>
        <v>15576.2</v>
      </c>
    </row>
    <row r="38" spans="1:17" s="148" customFormat="1" ht="15.75">
      <c r="A38" s="872"/>
      <c r="B38" s="440" t="s">
        <v>421</v>
      </c>
      <c r="C38" s="1187">
        <v>0</v>
      </c>
      <c r="D38" s="1187">
        <v>0</v>
      </c>
      <c r="E38" s="642">
        <f t="shared" si="36"/>
        <v>9711</v>
      </c>
      <c r="F38" s="1188">
        <v>415</v>
      </c>
      <c r="G38" s="1187">
        <v>415</v>
      </c>
      <c r="H38" s="1189">
        <f t="shared" si="37"/>
        <v>2110</v>
      </c>
      <c r="I38" s="1189">
        <f t="shared" si="38"/>
        <v>11821</v>
      </c>
      <c r="J38" s="1187">
        <v>26</v>
      </c>
      <c r="K38" s="1187">
        <v>26</v>
      </c>
      <c r="L38" s="1189">
        <f t="shared" si="39"/>
        <v>3626.2</v>
      </c>
      <c r="M38" s="1189">
        <v>43</v>
      </c>
      <c r="N38" s="1187">
        <v>43</v>
      </c>
      <c r="O38" s="1187">
        <f t="shared" si="40"/>
        <v>129</v>
      </c>
      <c r="P38" s="1189">
        <f t="shared" ref="P38" si="43">L38+O38</f>
        <v>3755.2</v>
      </c>
      <c r="Q38" s="1189">
        <f t="shared" ref="Q38" si="44">I38+P38</f>
        <v>15576.2</v>
      </c>
    </row>
    <row r="39" spans="1:17" s="148" customFormat="1" ht="15.75">
      <c r="A39" s="872"/>
      <c r="B39" s="440" t="s">
        <v>422</v>
      </c>
      <c r="C39" s="1187">
        <v>150</v>
      </c>
      <c r="D39" s="1187">
        <v>150</v>
      </c>
      <c r="E39" s="642">
        <f t="shared" ref="E39" si="45">E38-C39+D39</f>
        <v>9711</v>
      </c>
      <c r="F39" s="1188">
        <v>345</v>
      </c>
      <c r="G39" s="1187">
        <v>345</v>
      </c>
      <c r="H39" s="1189">
        <f t="shared" ref="H39" si="46">H38-F39+G39</f>
        <v>2110</v>
      </c>
      <c r="I39" s="1189">
        <f t="shared" ref="I39" si="47">E39+H39</f>
        <v>11821</v>
      </c>
      <c r="J39" s="1187">
        <v>26</v>
      </c>
      <c r="K39" s="1187">
        <v>26</v>
      </c>
      <c r="L39" s="1189">
        <f t="shared" ref="L39" si="48">L38-J39+K39</f>
        <v>3626.2</v>
      </c>
      <c r="M39" s="1189">
        <v>43</v>
      </c>
      <c r="N39" s="1187">
        <v>43</v>
      </c>
      <c r="O39" s="1187">
        <f t="shared" ref="O39" si="49">O38-M39+N39</f>
        <v>129</v>
      </c>
      <c r="P39" s="1189">
        <f t="shared" ref="P39" si="50">L39+O39</f>
        <v>3755.2</v>
      </c>
      <c r="Q39" s="1189">
        <f t="shared" ref="Q39" si="51">I39+P39</f>
        <v>15576.2</v>
      </c>
    </row>
    <row r="40" spans="1:17" s="148" customFormat="1" ht="15.75">
      <c r="A40" s="872"/>
      <c r="B40" s="440" t="s">
        <v>423</v>
      </c>
      <c r="C40" s="1187">
        <v>0</v>
      </c>
      <c r="D40" s="1187">
        <v>376</v>
      </c>
      <c r="E40" s="642">
        <f t="shared" ref="E40" si="52">E39-C40+D40</f>
        <v>10087</v>
      </c>
      <c r="F40" s="1188">
        <v>345</v>
      </c>
      <c r="G40" s="1187">
        <v>345</v>
      </c>
      <c r="H40" s="1189">
        <f t="shared" ref="H40" si="53">H39-F40+G40</f>
        <v>2110</v>
      </c>
      <c r="I40" s="1189">
        <f t="shared" ref="I40" si="54">E40+H40</f>
        <v>12197</v>
      </c>
      <c r="J40" s="1187">
        <v>26</v>
      </c>
      <c r="K40" s="1187">
        <v>26</v>
      </c>
      <c r="L40" s="1189">
        <f t="shared" ref="L40" si="55">L39-J40+K40</f>
        <v>3626.2</v>
      </c>
      <c r="M40" s="1189">
        <v>43</v>
      </c>
      <c r="N40" s="1187">
        <v>43</v>
      </c>
      <c r="O40" s="1187">
        <f t="shared" ref="O40" si="56">O39-M40+N40</f>
        <v>129</v>
      </c>
      <c r="P40" s="1189">
        <f t="shared" ref="P40" si="57">L40+O40</f>
        <v>3755.2</v>
      </c>
      <c r="Q40" s="1189">
        <f t="shared" ref="Q40" si="58">I40+P40</f>
        <v>15952.2</v>
      </c>
    </row>
    <row r="41" spans="1:17" s="148" customFormat="1" ht="15.75">
      <c r="A41" s="872"/>
      <c r="B41" s="440" t="s">
        <v>424</v>
      </c>
      <c r="C41" s="1187">
        <v>0</v>
      </c>
      <c r="D41" s="1187">
        <v>0</v>
      </c>
      <c r="E41" s="642">
        <f t="shared" ref="E41" si="59">E40-C41+D41</f>
        <v>10087</v>
      </c>
      <c r="F41" s="1188">
        <v>380</v>
      </c>
      <c r="G41" s="1187">
        <v>380</v>
      </c>
      <c r="H41" s="1189">
        <f t="shared" ref="H41" si="60">H40-F41+G41</f>
        <v>2110</v>
      </c>
      <c r="I41" s="1189">
        <f t="shared" ref="I41" si="61">E41+H41</f>
        <v>12197</v>
      </c>
      <c r="J41" s="1187">
        <v>52</v>
      </c>
      <c r="K41" s="1187">
        <v>52</v>
      </c>
      <c r="L41" s="1189">
        <f t="shared" ref="L41" si="62">L40-J41+K41</f>
        <v>3626.2</v>
      </c>
      <c r="M41" s="1189">
        <v>43</v>
      </c>
      <c r="N41" s="1187">
        <v>43</v>
      </c>
      <c r="O41" s="1187">
        <f t="shared" ref="O41" si="63">O40-M41+N41</f>
        <v>129</v>
      </c>
      <c r="P41" s="1189">
        <f t="shared" ref="P41" si="64">L41+O41</f>
        <v>3755.2</v>
      </c>
      <c r="Q41" s="1189">
        <f t="shared" ref="Q41" si="65">I41+P41</f>
        <v>15952.2</v>
      </c>
    </row>
    <row r="42" spans="1:17" s="148" customFormat="1" ht="15.75">
      <c r="A42" s="872"/>
      <c r="B42" s="440" t="s">
        <v>425</v>
      </c>
      <c r="C42" s="1187">
        <v>185</v>
      </c>
      <c r="D42" s="1187">
        <v>185</v>
      </c>
      <c r="E42" s="642">
        <f t="shared" ref="E42" si="66">E41-C42+D42</f>
        <v>10087</v>
      </c>
      <c r="F42" s="1188">
        <v>380</v>
      </c>
      <c r="G42" s="1187">
        <v>380</v>
      </c>
      <c r="H42" s="1189">
        <f t="shared" ref="H42" si="67">H41-F42+G42</f>
        <v>2110</v>
      </c>
      <c r="I42" s="1189">
        <f t="shared" ref="I42" si="68">E42+H42</f>
        <v>12197</v>
      </c>
      <c r="J42" s="1187">
        <v>376</v>
      </c>
      <c r="K42" s="1187">
        <v>188</v>
      </c>
      <c r="L42" s="1189">
        <f t="shared" ref="L42" si="69">L41-J42+K42</f>
        <v>3438.2</v>
      </c>
      <c r="M42" s="1189">
        <v>43</v>
      </c>
      <c r="N42" s="1187">
        <v>43</v>
      </c>
      <c r="O42" s="1187">
        <f t="shared" ref="O42" si="70">O41-M42+N42</f>
        <v>129</v>
      </c>
      <c r="P42" s="1189">
        <f t="shared" ref="P42" si="71">L42+O42</f>
        <v>3567.2</v>
      </c>
      <c r="Q42" s="1189">
        <f t="shared" ref="Q42" si="72">I42+P42</f>
        <v>15764.2</v>
      </c>
    </row>
    <row r="43" spans="1:17" s="148" customFormat="1" ht="15.75">
      <c r="A43" s="872"/>
      <c r="B43" s="440" t="s">
        <v>426</v>
      </c>
      <c r="C43" s="1187">
        <v>0</v>
      </c>
      <c r="D43" s="1187">
        <v>376</v>
      </c>
      <c r="E43" s="642">
        <f t="shared" ref="E43" si="73">E42-C43+D43</f>
        <v>10463</v>
      </c>
      <c r="F43" s="1188">
        <v>345</v>
      </c>
      <c r="G43" s="1187">
        <v>345</v>
      </c>
      <c r="H43" s="1189">
        <f t="shared" ref="H43" si="74">H42-F43+G43</f>
        <v>2110</v>
      </c>
      <c r="I43" s="1189">
        <f t="shared" ref="I43" si="75">E43+H43</f>
        <v>12573</v>
      </c>
      <c r="J43" s="1187">
        <v>26</v>
      </c>
      <c r="K43" s="1187">
        <v>496</v>
      </c>
      <c r="L43" s="1189">
        <f t="shared" ref="L43" si="76">L42-J43+K43</f>
        <v>3908.2</v>
      </c>
      <c r="M43" s="1189">
        <v>43</v>
      </c>
      <c r="N43" s="1187">
        <v>43</v>
      </c>
      <c r="O43" s="1187">
        <f t="shared" ref="O43" si="77">O42-M43+N43</f>
        <v>129</v>
      </c>
      <c r="P43" s="1189">
        <f t="shared" ref="P43" si="78">L43+O43</f>
        <v>4037.2</v>
      </c>
      <c r="Q43" s="1189">
        <f t="shared" ref="Q43" si="79">I43+P43</f>
        <v>16610.2</v>
      </c>
    </row>
    <row r="44" spans="1:17" ht="21.2" customHeight="1">
      <c r="A44" s="253" t="s">
        <v>741</v>
      </c>
      <c r="B44" s="1984"/>
      <c r="C44" s="380"/>
      <c r="D44" s="380"/>
      <c r="E44" s="380"/>
      <c r="F44" s="380"/>
      <c r="G44" s="380"/>
      <c r="H44" s="380"/>
      <c r="I44" s="380"/>
      <c r="J44" s="380"/>
      <c r="K44" s="380"/>
      <c r="L44" s="380"/>
      <c r="M44" s="380"/>
      <c r="N44" s="380"/>
      <c r="O44" s="380"/>
      <c r="P44" s="380"/>
      <c r="Q44" s="1985" t="s">
        <v>742</v>
      </c>
    </row>
    <row r="45" spans="1:17" ht="14.25" customHeight="1">
      <c r="A45" s="306" t="s">
        <v>743</v>
      </c>
      <c r="B45" s="180"/>
      <c r="Q45" s="1894" t="s">
        <v>744</v>
      </c>
    </row>
    <row r="46" spans="1:17" ht="14.25" customHeight="1">
      <c r="A46" s="306" t="s">
        <v>745</v>
      </c>
      <c r="Q46" s="1894" t="s">
        <v>746</v>
      </c>
    </row>
    <row r="47" spans="1:17" ht="14.25">
      <c r="A47" s="306" t="s">
        <v>747</v>
      </c>
      <c r="Q47" s="1894" t="s">
        <v>748</v>
      </c>
    </row>
    <row r="48" spans="1:17" ht="14.25">
      <c r="A48" s="306" t="s">
        <v>749</v>
      </c>
      <c r="Q48" s="321" t="s">
        <v>750</v>
      </c>
    </row>
    <row r="50" spans="1:17" ht="14.25">
      <c r="A50" s="643" t="s">
        <v>751</v>
      </c>
      <c r="B50" s="382"/>
      <c r="C50" s="382"/>
      <c r="D50" s="644"/>
      <c r="E50" s="382"/>
      <c r="F50" s="382"/>
      <c r="G50" s="382"/>
      <c r="H50" s="382"/>
      <c r="I50" s="382"/>
      <c r="J50" s="382"/>
      <c r="K50" s="382"/>
      <c r="L50" s="382"/>
      <c r="M50" s="382"/>
      <c r="N50" s="382"/>
      <c r="O50" s="382"/>
      <c r="P50" s="382"/>
      <c r="Q50" s="382"/>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9" activePane="bottomLeft" state="frozen"/>
      <selection activeCell="B12" sqref="B12"/>
      <selection pane="bottomLeft" activeCell="L40" sqref="L40"/>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1779</v>
      </c>
      <c r="B1" s="10"/>
      <c r="C1" s="10"/>
      <c r="D1" s="10"/>
      <c r="E1" s="10"/>
      <c r="F1" s="10"/>
      <c r="G1" s="10"/>
      <c r="H1" s="10"/>
      <c r="I1" s="10"/>
      <c r="J1" s="10"/>
      <c r="K1" s="10"/>
      <c r="L1" s="10"/>
      <c r="M1" s="10"/>
      <c r="N1" s="10"/>
      <c r="O1" s="10"/>
    </row>
    <row r="2" spans="1:19" ht="18" customHeight="1">
      <c r="A2" s="898" t="s">
        <v>752</v>
      </c>
      <c r="B2" s="10"/>
      <c r="C2" s="10"/>
      <c r="D2" s="10"/>
      <c r="E2" s="10"/>
      <c r="F2" s="10"/>
      <c r="G2" s="10"/>
      <c r="H2" s="10"/>
      <c r="I2" s="10"/>
      <c r="J2" s="10"/>
      <c r="K2" s="10"/>
      <c r="L2" s="10"/>
      <c r="M2" s="10"/>
      <c r="N2" s="10"/>
      <c r="O2" s="10"/>
    </row>
    <row r="3" spans="1:19" ht="18" customHeight="1">
      <c r="A3" s="16" t="s">
        <v>753</v>
      </c>
      <c r="B3" s="10"/>
      <c r="C3" s="10"/>
      <c r="D3" s="10"/>
      <c r="E3" s="10"/>
      <c r="F3" s="10"/>
      <c r="G3" s="10"/>
      <c r="H3" s="10"/>
      <c r="I3" s="10"/>
      <c r="J3" s="10"/>
      <c r="K3" s="10"/>
      <c r="L3" s="10"/>
      <c r="M3" s="10"/>
      <c r="N3" s="10"/>
      <c r="O3" s="10"/>
    </row>
    <row r="4" spans="1:19" ht="18" customHeight="1">
      <c r="A4" s="1613" t="s">
        <v>754</v>
      </c>
      <c r="B4" s="10"/>
      <c r="C4" s="10"/>
      <c r="D4" s="10"/>
      <c r="E4" s="10"/>
      <c r="F4" s="10"/>
      <c r="G4" s="10"/>
      <c r="H4" s="10"/>
      <c r="I4" s="10"/>
      <c r="J4" s="10"/>
      <c r="K4" s="10"/>
      <c r="L4" s="10"/>
      <c r="M4" s="10"/>
      <c r="N4" s="10"/>
      <c r="O4" s="10"/>
    </row>
    <row r="5" spans="1:19" ht="18" customHeight="1">
      <c r="A5" s="16" t="s">
        <v>755</v>
      </c>
      <c r="B5" s="10"/>
      <c r="C5" s="10"/>
      <c r="D5" s="10"/>
      <c r="E5" s="10"/>
      <c r="F5" s="10"/>
      <c r="G5" s="10"/>
      <c r="H5" s="10"/>
      <c r="I5" s="10"/>
      <c r="J5" s="10"/>
      <c r="K5" s="10"/>
      <c r="L5" s="10"/>
      <c r="M5" s="10"/>
      <c r="N5" s="10"/>
      <c r="O5" s="10"/>
    </row>
    <row r="6" spans="1:19" s="1619" customFormat="1" ht="14.25" customHeight="1">
      <c r="A6" s="1614" t="s">
        <v>756</v>
      </c>
      <c r="B6" s="1615"/>
      <c r="C6" s="1616"/>
      <c r="D6" s="1616"/>
      <c r="E6" s="1616"/>
      <c r="F6" s="1616"/>
      <c r="G6" s="1616"/>
      <c r="H6" s="1616"/>
      <c r="I6" s="1616"/>
      <c r="J6" s="1616"/>
      <c r="K6" s="1617"/>
      <c r="L6" s="1617"/>
      <c r="M6" s="1617"/>
      <c r="N6" s="1617"/>
      <c r="O6" s="1618" t="s">
        <v>757</v>
      </c>
    </row>
    <row r="7" spans="1:19" s="1619" customFormat="1" ht="18" customHeight="1">
      <c r="A7" s="1240" t="s">
        <v>383</v>
      </c>
      <c r="B7" s="1241"/>
      <c r="C7" s="1620" t="s">
        <v>375</v>
      </c>
      <c r="D7" s="1622"/>
      <c r="E7" s="1616"/>
      <c r="F7" s="1616"/>
      <c r="G7" s="1623"/>
      <c r="H7" s="1624" t="s">
        <v>376</v>
      </c>
      <c r="I7" s="1965"/>
      <c r="J7" s="1621" t="s">
        <v>377</v>
      </c>
      <c r="K7" s="1966"/>
      <c r="L7" s="1617"/>
      <c r="M7" s="1617"/>
      <c r="N7" s="1623"/>
      <c r="O7" s="301" t="s">
        <v>378</v>
      </c>
    </row>
    <row r="8" spans="1:19" s="50" customFormat="1" ht="18" customHeight="1">
      <c r="A8" s="1629"/>
      <c r="B8" s="1630"/>
      <c r="C8" s="1631" t="s">
        <v>758</v>
      </c>
      <c r="D8" s="1632"/>
      <c r="E8" s="1632"/>
      <c r="F8" s="1633"/>
      <c r="G8" s="1634" t="s">
        <v>381</v>
      </c>
      <c r="H8" s="911"/>
      <c r="I8" s="1635"/>
      <c r="J8" s="591" t="s">
        <v>758</v>
      </c>
      <c r="K8" s="1632"/>
      <c r="L8" s="1632"/>
      <c r="M8" s="1633"/>
      <c r="N8" s="1634" t="s">
        <v>381</v>
      </c>
      <c r="O8" s="187"/>
    </row>
    <row r="9" spans="1:19" s="50" customFormat="1" ht="18" customHeight="1">
      <c r="A9" s="1629"/>
      <c r="B9" s="1630"/>
      <c r="C9" s="84"/>
      <c r="D9" s="1640" t="s">
        <v>504</v>
      </c>
      <c r="E9" s="1647"/>
      <c r="F9" s="84"/>
      <c r="G9" s="83"/>
      <c r="H9" s="108" t="s">
        <v>379</v>
      </c>
      <c r="I9" s="1635" t="s">
        <v>386</v>
      </c>
      <c r="J9" s="1967"/>
      <c r="K9" s="1640" t="s">
        <v>504</v>
      </c>
      <c r="L9" s="1640"/>
      <c r="M9" s="83"/>
      <c r="N9" s="83"/>
      <c r="O9" s="1641" t="s">
        <v>379</v>
      </c>
    </row>
    <row r="10" spans="1:19" s="50" customFormat="1" ht="18" customHeight="1">
      <c r="A10" s="1642" t="s">
        <v>391</v>
      </c>
      <c r="B10" s="1643"/>
      <c r="C10" s="1644" t="s">
        <v>436</v>
      </c>
      <c r="D10" s="1638" t="s">
        <v>759</v>
      </c>
      <c r="E10" s="1968" t="s">
        <v>395</v>
      </c>
      <c r="F10" s="1638" t="s">
        <v>760</v>
      </c>
      <c r="G10" s="1647" t="s">
        <v>386</v>
      </c>
      <c r="H10" s="1639"/>
      <c r="I10" s="173" t="s">
        <v>397</v>
      </c>
      <c r="J10" s="1646" t="s">
        <v>436</v>
      </c>
      <c r="K10" s="1638" t="s">
        <v>759</v>
      </c>
      <c r="L10" s="1640" t="s">
        <v>395</v>
      </c>
      <c r="M10" s="1640" t="s">
        <v>760</v>
      </c>
      <c r="N10" s="1647" t="s">
        <v>386</v>
      </c>
      <c r="O10" s="1641"/>
    </row>
    <row r="11" spans="1:19" s="39" customFormat="1" ht="18" customHeight="1">
      <c r="A11" s="1642"/>
      <c r="B11" s="1643"/>
      <c r="C11" s="1648" t="s">
        <v>761</v>
      </c>
      <c r="D11" s="1236" t="s">
        <v>762</v>
      </c>
      <c r="E11" s="1648" t="s">
        <v>471</v>
      </c>
      <c r="F11" s="1648" t="s">
        <v>404</v>
      </c>
      <c r="G11" s="1648" t="s">
        <v>397</v>
      </c>
      <c r="H11" s="97" t="s">
        <v>384</v>
      </c>
      <c r="I11" s="1969"/>
      <c r="J11" s="1648" t="s">
        <v>761</v>
      </c>
      <c r="K11" s="63" t="s">
        <v>762</v>
      </c>
      <c r="L11" s="63" t="s">
        <v>471</v>
      </c>
      <c r="M11" s="63" t="s">
        <v>404</v>
      </c>
      <c r="N11" s="63" t="s">
        <v>397</v>
      </c>
      <c r="O11" s="51" t="s">
        <v>384</v>
      </c>
      <c r="P11" s="7"/>
      <c r="Q11" s="7"/>
      <c r="R11" s="7"/>
      <c r="S11" s="7"/>
    </row>
    <row r="12" spans="1:19" s="50" customFormat="1" ht="18" customHeight="1">
      <c r="A12" s="1650"/>
      <c r="B12" s="1651"/>
      <c r="C12" s="1653"/>
      <c r="D12" s="1653" t="s">
        <v>763</v>
      </c>
      <c r="E12" s="89" t="s">
        <v>764</v>
      </c>
      <c r="F12" s="1653"/>
      <c r="G12" s="1970"/>
      <c r="H12" s="1653"/>
      <c r="I12" s="1971"/>
      <c r="J12" s="1654"/>
      <c r="K12" s="1653" t="s">
        <v>763</v>
      </c>
      <c r="L12" s="89" t="s">
        <v>764</v>
      </c>
      <c r="M12" s="1970"/>
      <c r="N12" s="1970"/>
      <c r="O12" s="1857"/>
      <c r="P12" s="1972"/>
      <c r="Q12" s="1972"/>
      <c r="R12" s="1973"/>
      <c r="S12" s="1972"/>
    </row>
    <row r="13" spans="1:19" s="306" customFormat="1" ht="20.25" customHeight="1">
      <c r="A13" s="405">
        <v>2015</v>
      </c>
      <c r="B13" s="516"/>
      <c r="C13" s="1656">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974">
        <v>138441.20682400296</v>
      </c>
      <c r="P13" s="801"/>
      <c r="Q13" s="1098"/>
      <c r="R13" s="1098"/>
      <c r="S13" s="1098"/>
    </row>
    <row r="14" spans="1:19" s="408" customFormat="1" ht="14.85" customHeight="1">
      <c r="A14" s="356">
        <v>2016</v>
      </c>
      <c r="B14" s="570"/>
      <c r="C14" s="1656">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974">
        <v>131223.96980251285</v>
      </c>
      <c r="P14" s="801"/>
      <c r="Q14" s="1098"/>
      <c r="R14" s="1098"/>
      <c r="S14" s="1098"/>
    </row>
    <row r="15" spans="1:19" s="408" customFormat="1" ht="14.85" customHeight="1">
      <c r="A15" s="356">
        <v>2017</v>
      </c>
      <c r="B15" s="570"/>
      <c r="C15" s="1656">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974">
        <v>131546.30366312145</v>
      </c>
      <c r="P15" s="801"/>
      <c r="Q15" s="1098"/>
      <c r="R15" s="1098"/>
      <c r="S15" s="1098"/>
    </row>
    <row r="16" spans="1:19" s="321" customFormat="1" ht="14.25" customHeight="1">
      <c r="A16" s="770">
        <v>2018</v>
      </c>
      <c r="B16" s="771"/>
      <c r="C16" s="1183">
        <v>13700.065966641987</v>
      </c>
      <c r="D16" s="795">
        <v>29500.543871063212</v>
      </c>
      <c r="E16" s="1184">
        <v>15268.849943895733</v>
      </c>
      <c r="F16" s="743">
        <v>3979.0083192753309</v>
      </c>
      <c r="G16" s="795">
        <v>62448.439991715662</v>
      </c>
      <c r="H16" s="743">
        <v>130201.03531637968</v>
      </c>
      <c r="I16" s="1185">
        <v>192649.43830809538</v>
      </c>
      <c r="J16" s="743">
        <v>8922.0947499335871</v>
      </c>
      <c r="K16" s="1164">
        <v>28640.910506081611</v>
      </c>
      <c r="L16" s="1184">
        <v>5962.2524878812819</v>
      </c>
      <c r="M16" s="743">
        <v>14372.261661857876</v>
      </c>
      <c r="N16" s="754">
        <v>57897.561530754348</v>
      </c>
      <c r="O16" s="1186">
        <v>134751.8405038557</v>
      </c>
      <c r="P16" s="801"/>
      <c r="Q16" s="1098"/>
      <c r="R16" s="1098"/>
      <c r="S16" s="1098"/>
    </row>
    <row r="17" spans="1:19" s="321" customFormat="1" ht="14.25" customHeight="1">
      <c r="A17" s="770">
        <v>2019</v>
      </c>
      <c r="B17" s="771"/>
      <c r="C17" s="1183">
        <v>15457.608671876529</v>
      </c>
      <c r="D17" s="795">
        <v>30750.642866545204</v>
      </c>
      <c r="E17" s="1184">
        <v>17357.256737510259</v>
      </c>
      <c r="F17" s="743">
        <v>4949.9845587032196</v>
      </c>
      <c r="G17" s="795">
        <v>68515.450056265778</v>
      </c>
      <c r="H17" s="743">
        <v>136391.29871570531</v>
      </c>
      <c r="I17" s="1185">
        <v>204906.77877197106</v>
      </c>
      <c r="J17" s="743">
        <v>9232.5869365932631</v>
      </c>
      <c r="K17" s="1164">
        <v>31529.135210692151</v>
      </c>
      <c r="L17" s="1184">
        <v>6046.6652735764028</v>
      </c>
      <c r="M17" s="743">
        <v>15501.575138992888</v>
      </c>
      <c r="N17" s="754">
        <v>62310.018441341774</v>
      </c>
      <c r="O17" s="1186">
        <v>142596.79664643575</v>
      </c>
      <c r="P17" s="801"/>
      <c r="Q17" s="1098"/>
      <c r="R17" s="1098"/>
      <c r="S17" s="1098"/>
    </row>
    <row r="18" spans="1:19" s="321" customFormat="1" ht="14.25" customHeight="1">
      <c r="A18" s="770">
        <v>2020</v>
      </c>
      <c r="B18" s="771"/>
      <c r="C18" s="1183">
        <v>14825.111542872424</v>
      </c>
      <c r="D18" s="795">
        <v>33581.620905857257</v>
      </c>
      <c r="E18" s="1184">
        <v>18402.983215341588</v>
      </c>
      <c r="F18" s="743">
        <v>4702.130865142738</v>
      </c>
      <c r="G18" s="795">
        <v>71511.822925098095</v>
      </c>
      <c r="H18" s="743">
        <v>135841.65560143243</v>
      </c>
      <c r="I18" s="1185">
        <v>207353.52852653054</v>
      </c>
      <c r="J18" s="743">
        <v>9652.0810035674858</v>
      </c>
      <c r="K18" s="1164">
        <v>33673.111865645915</v>
      </c>
      <c r="L18" s="1184">
        <v>5098.2383874026818</v>
      </c>
      <c r="M18" s="743">
        <v>16453.743705156634</v>
      </c>
      <c r="N18" s="754">
        <v>64877.139635812084</v>
      </c>
      <c r="O18" s="1186">
        <v>142476.42536248692</v>
      </c>
      <c r="P18" s="801"/>
      <c r="Q18" s="1098"/>
      <c r="R18" s="1098"/>
      <c r="S18" s="1098"/>
    </row>
    <row r="19" spans="1:19" s="321" customFormat="1" ht="14.25" customHeight="1">
      <c r="A19" s="770">
        <v>2021</v>
      </c>
      <c r="B19" s="771"/>
      <c r="C19" s="1183">
        <v>17858.779558973598</v>
      </c>
      <c r="D19" s="795">
        <v>34209.695944195992</v>
      </c>
      <c r="E19" s="1184">
        <v>19696.254905242717</v>
      </c>
      <c r="F19" s="743">
        <v>4313.840915976305</v>
      </c>
      <c r="G19" s="795">
        <v>76078.554727566807</v>
      </c>
      <c r="H19" s="743">
        <v>141423.04350746062</v>
      </c>
      <c r="I19" s="1185">
        <v>217501.64823502745</v>
      </c>
      <c r="J19" s="743">
        <v>11893.637026597276</v>
      </c>
      <c r="K19" s="1164">
        <v>35389.64355627937</v>
      </c>
      <c r="L19" s="1184">
        <v>4808.0353055277465</v>
      </c>
      <c r="M19" s="743">
        <v>16269.471439292822</v>
      </c>
      <c r="N19" s="754">
        <v>68360.737579266366</v>
      </c>
      <c r="O19" s="1186">
        <v>149140.93805809924</v>
      </c>
      <c r="P19" s="801"/>
      <c r="Q19" s="1098"/>
      <c r="R19" s="1098"/>
      <c r="S19" s="1098"/>
    </row>
    <row r="20" spans="1:19" s="321" customFormat="1" ht="14.25" customHeight="1">
      <c r="A20" s="770">
        <v>2022</v>
      </c>
      <c r="B20" s="771"/>
      <c r="C20" s="1183">
        <v>21002.061763606922</v>
      </c>
      <c r="D20" s="795">
        <v>34836.049921396683</v>
      </c>
      <c r="E20" s="1184">
        <v>19432.111456099254</v>
      </c>
      <c r="F20" s="743">
        <v>6165.7913863230751</v>
      </c>
      <c r="G20" s="795">
        <v>81435.994527425923</v>
      </c>
      <c r="H20" s="743">
        <v>142658.59267128466</v>
      </c>
      <c r="I20" s="1185">
        <v>224094.63719870997</v>
      </c>
      <c r="J20" s="743">
        <v>11615.434922380509</v>
      </c>
      <c r="K20" s="1164">
        <v>37825.411726042817</v>
      </c>
      <c r="L20" s="1184">
        <v>4600.1381998248098</v>
      </c>
      <c r="M20" s="743">
        <v>18292.234715514944</v>
      </c>
      <c r="N20" s="754">
        <v>72333.119563763074</v>
      </c>
      <c r="O20" s="1186">
        <v>151761.51585320084</v>
      </c>
      <c r="P20" s="801"/>
      <c r="Q20" s="1098"/>
      <c r="R20" s="1098"/>
      <c r="S20" s="1098"/>
    </row>
    <row r="21" spans="1:19" s="321" customFormat="1" ht="14.25" customHeight="1">
      <c r="A21" s="770">
        <v>2023</v>
      </c>
      <c r="B21" s="771"/>
      <c r="C21" s="1183">
        <f t="shared" ref="C21:O21" si="0">C26</f>
        <v>25708.920488742428</v>
      </c>
      <c r="D21" s="795">
        <f t="shared" si="0"/>
        <v>36306.438223005869</v>
      </c>
      <c r="E21" s="1184">
        <f t="shared" si="0"/>
        <v>20818.415610031887</v>
      </c>
      <c r="F21" s="743">
        <f t="shared" si="0"/>
        <v>5992.6034799139316</v>
      </c>
      <c r="G21" s="795">
        <f t="shared" si="0"/>
        <v>88826.302127659583</v>
      </c>
      <c r="H21" s="743">
        <f t="shared" si="0"/>
        <v>149701.82765957445</v>
      </c>
      <c r="I21" s="1185">
        <f t="shared" si="0"/>
        <v>238528.12978723401</v>
      </c>
      <c r="J21" s="743">
        <f t="shared" si="0"/>
        <v>12380.091677678865</v>
      </c>
      <c r="K21" s="1164">
        <f t="shared" si="0"/>
        <v>39516.968376497149</v>
      </c>
      <c r="L21" s="1184">
        <f t="shared" si="0"/>
        <v>4708.3111936773275</v>
      </c>
      <c r="M21" s="743">
        <f t="shared" si="0"/>
        <v>17222.373993364108</v>
      </c>
      <c r="N21" s="754">
        <f t="shared" si="0"/>
        <v>73827.797872340423</v>
      </c>
      <c r="O21" s="1186">
        <f t="shared" si="0"/>
        <v>164700.33191489361</v>
      </c>
      <c r="P21" s="801"/>
      <c r="Q21" s="1098"/>
      <c r="R21" s="1098"/>
      <c r="S21" s="1098"/>
    </row>
    <row r="22" spans="1:19" s="321" customFormat="1" ht="14.25" customHeight="1">
      <c r="A22" s="930">
        <v>2024</v>
      </c>
      <c r="B22" s="1025"/>
      <c r="C22" s="1094">
        <f t="shared" ref="C22:O22" si="1">C30</f>
        <v>26039.231394276245</v>
      </c>
      <c r="D22" s="1057">
        <f t="shared" si="1"/>
        <v>36160.126274693896</v>
      </c>
      <c r="E22" s="1339">
        <f t="shared" si="1"/>
        <v>22065.542366984151</v>
      </c>
      <c r="F22" s="744">
        <f t="shared" si="1"/>
        <v>5634.1166633557023</v>
      </c>
      <c r="G22" s="1057">
        <f t="shared" si="1"/>
        <v>89898.948936170214</v>
      </c>
      <c r="H22" s="744">
        <f t="shared" si="1"/>
        <v>157928.67234042555</v>
      </c>
      <c r="I22" s="1096">
        <f t="shared" si="1"/>
        <v>247827.62127659575</v>
      </c>
      <c r="J22" s="744">
        <f t="shared" si="1"/>
        <v>11690.662380256965</v>
      </c>
      <c r="K22" s="1067">
        <f t="shared" si="1"/>
        <v>38944.58166446878</v>
      </c>
      <c r="L22" s="1095">
        <f t="shared" si="1"/>
        <v>5210.4576074336073</v>
      </c>
      <c r="M22" s="744">
        <f t="shared" si="1"/>
        <v>17197.435249246348</v>
      </c>
      <c r="N22" s="1055">
        <f t="shared" si="1"/>
        <v>73043.204255319142</v>
      </c>
      <c r="O22" s="1097">
        <f t="shared" si="1"/>
        <v>174784.4170212766</v>
      </c>
      <c r="P22" s="801"/>
      <c r="Q22" s="1098"/>
      <c r="R22" s="1098"/>
      <c r="S22" s="1098"/>
    </row>
    <row r="23" spans="1:19" s="321" customFormat="1" ht="21" customHeight="1">
      <c r="A23" s="770">
        <v>2023</v>
      </c>
      <c r="B23" s="771" t="s">
        <v>243</v>
      </c>
      <c r="C23" s="1183">
        <v>22258.161732049222</v>
      </c>
      <c r="D23" s="795">
        <v>36382.928035572433</v>
      </c>
      <c r="E23" s="1184">
        <v>19478.05761118581</v>
      </c>
      <c r="F23" s="743">
        <v>6103.5303560454786</v>
      </c>
      <c r="G23" s="795">
        <v>84222.721276595737</v>
      </c>
      <c r="H23" s="743">
        <v>132315.15617021275</v>
      </c>
      <c r="I23" s="1185">
        <v>216537.85744680851</v>
      </c>
      <c r="J23" s="743">
        <v>11011.930747246966</v>
      </c>
      <c r="K23" s="1164">
        <v>38663.164085642493</v>
      </c>
      <c r="L23" s="1184">
        <v>4504.0822261128869</v>
      </c>
      <c r="M23" s="743">
        <v>16388.022792243137</v>
      </c>
      <c r="N23" s="754">
        <v>70567.217021276592</v>
      </c>
      <c r="O23" s="1186">
        <v>145970.66042553191</v>
      </c>
      <c r="P23" s="801"/>
      <c r="Q23" s="1098"/>
      <c r="R23" s="1098"/>
      <c r="S23" s="1098"/>
    </row>
    <row r="24" spans="1:19" s="321" customFormat="1">
      <c r="A24" s="770"/>
      <c r="B24" s="771" t="s">
        <v>244</v>
      </c>
      <c r="C24" s="1183">
        <v>23912.140408068819</v>
      </c>
      <c r="D24" s="795">
        <v>36574.725033027862</v>
      </c>
      <c r="E24" s="1184">
        <v>19440.988331652425</v>
      </c>
      <c r="F24" s="743">
        <v>5958.8951847353364</v>
      </c>
      <c r="G24" s="795">
        <v>85886.659574468082</v>
      </c>
      <c r="H24" s="743">
        <v>140163.13829787233</v>
      </c>
      <c r="I24" s="1185">
        <v>226049.79787234042</v>
      </c>
      <c r="J24" s="743">
        <v>12303.675863382254</v>
      </c>
      <c r="K24" s="1164">
        <v>39010.049717476766</v>
      </c>
      <c r="L24" s="1184">
        <v>4914.2571215090147</v>
      </c>
      <c r="M24" s="743">
        <v>16457.306652159612</v>
      </c>
      <c r="N24" s="754">
        <v>72685.287234042553</v>
      </c>
      <c r="O24" s="1186">
        <v>153364.51063829788</v>
      </c>
      <c r="P24" s="801"/>
      <c r="Q24" s="1098"/>
      <c r="R24" s="1098"/>
      <c r="S24" s="1098"/>
    </row>
    <row r="25" spans="1:19" s="321" customFormat="1">
      <c r="A25" s="770"/>
      <c r="B25" s="771" t="s">
        <v>245</v>
      </c>
      <c r="C25" s="1183">
        <v>25091.10855710633</v>
      </c>
      <c r="D25" s="795">
        <v>36634.535046220713</v>
      </c>
      <c r="E25" s="1975">
        <v>19209.000213807409</v>
      </c>
      <c r="F25" s="743">
        <v>6735.3787309328109</v>
      </c>
      <c r="G25" s="795">
        <v>87670.03404255319</v>
      </c>
      <c r="H25" s="743">
        <v>141190.27446808509</v>
      </c>
      <c r="I25" s="1185">
        <v>228860.30851063831</v>
      </c>
      <c r="J25" s="743">
        <v>11894.64084308828</v>
      </c>
      <c r="K25" s="1164">
        <v>38419.048463447878</v>
      </c>
      <c r="L25" s="1184">
        <v>4829.1186504761235</v>
      </c>
      <c r="M25" s="743">
        <v>17353.637648215103</v>
      </c>
      <c r="N25" s="754">
        <v>72496.314893617018</v>
      </c>
      <c r="O25" s="1186">
        <v>156363.99361702127</v>
      </c>
      <c r="P25" s="801"/>
      <c r="Q25" s="1098"/>
      <c r="R25" s="1098"/>
      <c r="S25" s="1098"/>
    </row>
    <row r="26" spans="1:19" s="321" customFormat="1">
      <c r="A26" s="770"/>
      <c r="B26" s="771" t="s">
        <v>242</v>
      </c>
      <c r="C26" s="1183">
        <v>25708.920488742428</v>
      </c>
      <c r="D26" s="795">
        <v>36306.438223005869</v>
      </c>
      <c r="E26" s="1184">
        <v>20818.415610031887</v>
      </c>
      <c r="F26" s="743">
        <v>5992.6034799139316</v>
      </c>
      <c r="G26" s="795">
        <v>88826.302127659583</v>
      </c>
      <c r="H26" s="743">
        <v>149701.82765957445</v>
      </c>
      <c r="I26" s="1185">
        <v>238528.12978723401</v>
      </c>
      <c r="J26" s="743">
        <v>12380.091677678865</v>
      </c>
      <c r="K26" s="1164">
        <v>39516.968376497149</v>
      </c>
      <c r="L26" s="1184">
        <v>4708.3111936773275</v>
      </c>
      <c r="M26" s="743">
        <v>17222.373993364108</v>
      </c>
      <c r="N26" s="754">
        <v>73827.797872340423</v>
      </c>
      <c r="O26" s="1186">
        <v>164700.33191489361</v>
      </c>
      <c r="P26" s="801"/>
      <c r="Q26" s="1098"/>
      <c r="R26" s="1098"/>
      <c r="S26" s="1098"/>
    </row>
    <row r="27" spans="1:19" s="321" customFormat="1" ht="21" customHeight="1">
      <c r="A27" s="770">
        <v>2024</v>
      </c>
      <c r="B27" s="771" t="s">
        <v>243</v>
      </c>
      <c r="C27" s="1183">
        <f t="shared" ref="C27:O27" si="2">C34</f>
        <v>24695.429141669054</v>
      </c>
      <c r="D27" s="795">
        <f t="shared" si="2"/>
        <v>37179.642786495126</v>
      </c>
      <c r="E27" s="1184">
        <f t="shared" si="2"/>
        <v>21820.900278672696</v>
      </c>
      <c r="F27" s="743">
        <f t="shared" si="2"/>
        <v>6105.6930320755891</v>
      </c>
      <c r="G27" s="795">
        <f t="shared" si="2"/>
        <v>89801.614893617021</v>
      </c>
      <c r="H27" s="743">
        <f t="shared" si="2"/>
        <v>150304.48085106382</v>
      </c>
      <c r="I27" s="1185">
        <f t="shared" si="2"/>
        <v>240106.09574468085</v>
      </c>
      <c r="J27" s="743">
        <f t="shared" si="2"/>
        <v>12524.801149300234</v>
      </c>
      <c r="K27" s="1164">
        <f t="shared" si="2"/>
        <v>38678.742525592745</v>
      </c>
      <c r="L27" s="1184">
        <f t="shared" si="2"/>
        <v>4498.3017465826752</v>
      </c>
      <c r="M27" s="743">
        <f t="shared" si="2"/>
        <v>18135.606249553661</v>
      </c>
      <c r="N27" s="754">
        <f t="shared" si="2"/>
        <v>73837.359574468093</v>
      </c>
      <c r="O27" s="1186">
        <f t="shared" si="2"/>
        <v>166268.73617021277</v>
      </c>
      <c r="P27" s="801"/>
      <c r="Q27" s="1098"/>
      <c r="R27" s="1098"/>
      <c r="S27" s="1098"/>
    </row>
    <row r="28" spans="1:19" s="321" customFormat="1" ht="15" customHeight="1">
      <c r="A28" s="770"/>
      <c r="B28" s="771" t="s">
        <v>244</v>
      </c>
      <c r="C28" s="1183">
        <f t="shared" ref="C28:O28" si="3">C37</f>
        <v>25960.693676159513</v>
      </c>
      <c r="D28" s="795">
        <f t="shared" si="3"/>
        <v>37665.35534526618</v>
      </c>
      <c r="E28" s="1184">
        <f t="shared" si="3"/>
        <v>21033.560678228005</v>
      </c>
      <c r="F28" s="743">
        <f t="shared" si="3"/>
        <v>6491.7599316717478</v>
      </c>
      <c r="G28" s="795">
        <f t="shared" si="3"/>
        <v>91151.519148936175</v>
      </c>
      <c r="H28" s="743">
        <f t="shared" si="3"/>
        <v>152498.76382978723</v>
      </c>
      <c r="I28" s="1185">
        <f t="shared" si="3"/>
        <v>243650.28297872341</v>
      </c>
      <c r="J28" s="743">
        <f t="shared" si="3"/>
        <v>11691.361135835523</v>
      </c>
      <c r="K28" s="1164">
        <f t="shared" si="3"/>
        <v>39272.611155599348</v>
      </c>
      <c r="L28" s="1184">
        <f t="shared" si="3"/>
        <v>4877.2858344714559</v>
      </c>
      <c r="M28" s="743">
        <f t="shared" si="3"/>
        <v>17142.679058777285</v>
      </c>
      <c r="N28" s="754">
        <f t="shared" si="3"/>
        <v>72983.98723404255</v>
      </c>
      <c r="O28" s="1186">
        <f t="shared" si="3"/>
        <v>170666.29574468086</v>
      </c>
      <c r="P28" s="801"/>
      <c r="Q28" s="1098"/>
      <c r="R28" s="1098"/>
      <c r="S28" s="1098"/>
    </row>
    <row r="29" spans="1:19" s="321" customFormat="1" ht="15" customHeight="1">
      <c r="A29" s="770"/>
      <c r="B29" s="771" t="s">
        <v>245</v>
      </c>
      <c r="C29" s="1183">
        <f t="shared" ref="C29:O29" si="4">C40</f>
        <v>27976.981387339976</v>
      </c>
      <c r="D29" s="795">
        <f t="shared" si="4"/>
        <v>37351.602250639386</v>
      </c>
      <c r="E29" s="1184">
        <f t="shared" si="4"/>
        <v>21946.97107317136</v>
      </c>
      <c r="F29" s="743">
        <f t="shared" si="4"/>
        <v>6201.5936572183709</v>
      </c>
      <c r="G29" s="795">
        <f t="shared" si="4"/>
        <v>93477.235957446814</v>
      </c>
      <c r="H29" s="743">
        <f t="shared" si="4"/>
        <v>156250.88085106382</v>
      </c>
      <c r="I29" s="1185">
        <f t="shared" si="4"/>
        <v>249728.14680851065</v>
      </c>
      <c r="J29" s="743">
        <f t="shared" si="4"/>
        <v>11832.233133446745</v>
      </c>
      <c r="K29" s="1164">
        <f t="shared" si="4"/>
        <v>40358.003460695058</v>
      </c>
      <c r="L29" s="1184">
        <f t="shared" si="4"/>
        <v>5308.1028577197685</v>
      </c>
      <c r="M29" s="743">
        <f t="shared" si="4"/>
        <v>17674.907044088013</v>
      </c>
      <c r="N29" s="754">
        <f t="shared" si="4"/>
        <v>75173.238085106379</v>
      </c>
      <c r="O29" s="1186">
        <f t="shared" si="4"/>
        <v>174554.87872340425</v>
      </c>
      <c r="P29" s="801"/>
      <c r="Q29" s="1098"/>
      <c r="R29" s="1098"/>
      <c r="S29" s="1098"/>
    </row>
    <row r="30" spans="1:19" s="321" customFormat="1" ht="15" customHeight="1">
      <c r="A30" s="930"/>
      <c r="B30" s="1025" t="s">
        <v>242</v>
      </c>
      <c r="C30" s="1094">
        <f t="shared" ref="C30:O30" si="5">C43</f>
        <v>26039.231394276245</v>
      </c>
      <c r="D30" s="1057">
        <f t="shared" si="5"/>
        <v>36160.126274693896</v>
      </c>
      <c r="E30" s="1095">
        <f t="shared" si="5"/>
        <v>22065.542366984151</v>
      </c>
      <c r="F30" s="744">
        <f t="shared" si="5"/>
        <v>5634.1166633557023</v>
      </c>
      <c r="G30" s="1057">
        <f t="shared" si="5"/>
        <v>89898.948936170214</v>
      </c>
      <c r="H30" s="744">
        <f t="shared" si="5"/>
        <v>157928.67234042555</v>
      </c>
      <c r="I30" s="1096">
        <f t="shared" si="5"/>
        <v>247827.62127659575</v>
      </c>
      <c r="J30" s="744">
        <f t="shared" si="5"/>
        <v>11690.662380256965</v>
      </c>
      <c r="K30" s="1067">
        <f t="shared" si="5"/>
        <v>38944.58166446878</v>
      </c>
      <c r="L30" s="1095">
        <f t="shared" si="5"/>
        <v>5210.4576074336073</v>
      </c>
      <c r="M30" s="744">
        <f t="shared" si="5"/>
        <v>17197.435249246348</v>
      </c>
      <c r="N30" s="1055">
        <f t="shared" si="5"/>
        <v>73043.204255319142</v>
      </c>
      <c r="O30" s="1097">
        <f t="shared" si="5"/>
        <v>174784.4170212766</v>
      </c>
      <c r="P30" s="801"/>
      <c r="Q30" s="1098"/>
      <c r="R30" s="1098"/>
      <c r="S30" s="1098"/>
    </row>
    <row r="31" spans="1:19" s="306" customFormat="1" ht="21" customHeight="1">
      <c r="A31" s="405">
        <v>2023</v>
      </c>
      <c r="B31" s="516" t="s">
        <v>426</v>
      </c>
      <c r="C31" s="659">
        <v>25708.920488742428</v>
      </c>
      <c r="D31" s="659">
        <v>36306.438223005869</v>
      </c>
      <c r="E31" s="685">
        <v>20818.415610031887</v>
      </c>
      <c r="F31" s="659">
        <v>5992.6034799139316</v>
      </c>
      <c r="G31" s="689">
        <v>88826.302127659583</v>
      </c>
      <c r="H31" s="677">
        <v>149701.82765957445</v>
      </c>
      <c r="I31" s="690">
        <v>238528.12978723401</v>
      </c>
      <c r="J31" s="686">
        <v>12380.091677678865</v>
      </c>
      <c r="K31" s="678">
        <v>39516.968376497149</v>
      </c>
      <c r="L31" s="685">
        <v>4708.3111936773275</v>
      </c>
      <c r="M31" s="683">
        <v>17222.373993364108</v>
      </c>
      <c r="N31" s="694">
        <v>73827.797872340423</v>
      </c>
      <c r="O31" s="694">
        <v>164700.33191489361</v>
      </c>
      <c r="P31" s="314"/>
      <c r="Q31" s="806"/>
      <c r="R31" s="806"/>
      <c r="S31" s="806"/>
    </row>
    <row r="32" spans="1:19" s="306" customFormat="1" ht="21" customHeight="1">
      <c r="A32" s="405">
        <v>2024</v>
      </c>
      <c r="B32" s="516" t="s">
        <v>427</v>
      </c>
      <c r="C32" s="659">
        <f>('14'!C32+'14'!D32+'14'!E32)/0.376+'28'!$C32</f>
        <v>25633.612367553858</v>
      </c>
      <c r="D32" s="659">
        <f>('14'!F32)/0.376+'28'!$D32</f>
        <v>36535.123921279301</v>
      </c>
      <c r="E32" s="685">
        <f>('14'!G32+'14'!H32)/0.376+'28'!$E32</f>
        <v>21016.774101262265</v>
      </c>
      <c r="F32" s="659">
        <f>('14'!I32)/0.376+'28'!$F32+0.02</f>
        <v>6022.6577602213965</v>
      </c>
      <c r="G32" s="689">
        <f>ROUND('14'!J32,1)/0.376+ROUND('28'!$G32,1)</f>
        <v>89208.204255319157</v>
      </c>
      <c r="H32" s="677">
        <f>ROUND('14'!K32,1)/0.376+ROUND('28'!$M32,1)</f>
        <v>148626.5510638298</v>
      </c>
      <c r="I32" s="690">
        <f>ROUND('14'!L32,1)/0.376+ROUND('28'!$N32,1)</f>
        <v>237834.75531914894</v>
      </c>
      <c r="J32" s="686">
        <f>('15'!C32+'15'!D32)/0.376+'29'!$C32</f>
        <v>11628.039359066071</v>
      </c>
      <c r="K32" s="678">
        <f>('15'!E32)/0.376+'29'!$D32</f>
        <v>39143.888304365028</v>
      </c>
      <c r="L32" s="685">
        <f>('15'!F32)/0.376+'29'!$E32+0.01</f>
        <v>4569.6568139860556</v>
      </c>
      <c r="M32" s="683">
        <f>('15'!G32+'15'!H32)/0.376+'29'!$F32</f>
        <v>17259.999256306593</v>
      </c>
      <c r="N32" s="694">
        <f>ROUND('15'!I32,1)/0.376+ROUND('29'!$G32,1)</f>
        <v>72601.565957446815</v>
      </c>
      <c r="O32" s="694">
        <f>ROUND('15'!J32,1)/0.376+ROUND('29'!$M32,1)</f>
        <v>165233.18936170213</v>
      </c>
      <c r="P32" s="314"/>
      <c r="Q32" s="806"/>
      <c r="R32" s="806"/>
      <c r="S32" s="806"/>
    </row>
    <row r="33" spans="1:19" s="306" customFormat="1" ht="16.5" customHeight="1">
      <c r="A33" s="405"/>
      <c r="B33" s="516" t="s">
        <v>416</v>
      </c>
      <c r="C33" s="659">
        <f>('14'!C33+'14'!D33+'14'!E33)/0.376+'28'!$C33-0.05</f>
        <v>25143.962172160966</v>
      </c>
      <c r="D33" s="659">
        <f>('14'!F33)/0.376+'28'!$D33</f>
        <v>36583.549990460742</v>
      </c>
      <c r="E33" s="685">
        <f>('14'!G33+'14'!H33)/0.376+'28'!$E33</f>
        <v>21227.538242170318</v>
      </c>
      <c r="F33" s="659">
        <f>('14'!I33)/0.376+'28'!$F33</f>
        <v>6229.5907802766906</v>
      </c>
      <c r="G33" s="689">
        <f>ROUND('14'!J33,1)/0.376+ROUND('28'!$G33,1)</f>
        <v>89184.565957446815</v>
      </c>
      <c r="H33" s="677">
        <f>ROUND('14'!K33,1)/0.376+ROUND('28'!$M33,1)</f>
        <v>147537.4234042553</v>
      </c>
      <c r="I33" s="690">
        <f>ROUND('14'!L33,1)/0.376+ROUND('28'!$N33,1)</f>
        <v>236721.98936170212</v>
      </c>
      <c r="J33" s="686">
        <f>('15'!C33+'15'!D33)/0.376+'29'!$C33</f>
        <v>12505.874477292971</v>
      </c>
      <c r="K33" s="678">
        <f>('15'!E33)/0.376+'29'!$D33</f>
        <v>38945.120420180785</v>
      </c>
      <c r="L33" s="685">
        <f>('15'!F33)/0.376+'29'!$E33</f>
        <v>4618.7490927228191</v>
      </c>
      <c r="M33" s="683">
        <f>('15'!G33+'15'!H33)/0.376+'29'!$F33</f>
        <v>18017.611562335871</v>
      </c>
      <c r="N33" s="694">
        <f>ROUND('15'!I33,1)/0.376+ROUND('29'!$G33,1)</f>
        <v>74087.270212765958</v>
      </c>
      <c r="O33" s="694">
        <f>ROUND('15'!J33,1)/0.376+ROUND('29'!$M33,1)</f>
        <v>162634.71914893616</v>
      </c>
      <c r="P33" s="314"/>
      <c r="Q33" s="806"/>
      <c r="R33" s="806"/>
      <c r="S33" s="806"/>
    </row>
    <row r="34" spans="1:19" s="306" customFormat="1" ht="16.5" customHeight="1">
      <c r="A34" s="405"/>
      <c r="B34" s="516" t="s">
        <v>417</v>
      </c>
      <c r="C34" s="659">
        <f>('14'!C34+'14'!D34+'14'!E34)/0.376+'28'!$C34</f>
        <v>24695.429141669054</v>
      </c>
      <c r="D34" s="659">
        <f>('14'!F34)/0.376+'28'!$D34-0.03</f>
        <v>37179.642786495126</v>
      </c>
      <c r="E34" s="685">
        <f>('14'!G34+'14'!H34)/0.376+'28'!$E34</f>
        <v>21820.900278672696</v>
      </c>
      <c r="F34" s="659">
        <f>('14'!I34)/0.376+'28'!$F34</f>
        <v>6105.6930320755891</v>
      </c>
      <c r="G34" s="689">
        <f>ROUND('14'!J34,1)/0.376+ROUND('28'!$G34,1)</f>
        <v>89801.614893617021</v>
      </c>
      <c r="H34" s="677">
        <f>ROUND('14'!K34,1)/0.376+ROUND('28'!$M34,1)</f>
        <v>150304.48085106382</v>
      </c>
      <c r="I34" s="690">
        <f>ROUND('14'!L34,1)/0.376+ROUND('28'!$N34,1)</f>
        <v>240106.09574468085</v>
      </c>
      <c r="J34" s="686">
        <f>('15'!C34+'15'!D34)/0.376+'29'!$C34</f>
        <v>12524.801149300234</v>
      </c>
      <c r="K34" s="678">
        <f>('15'!E34)/0.376+'29'!$D34-0.03</f>
        <v>38678.742525592745</v>
      </c>
      <c r="L34" s="685">
        <f>('15'!F34)/0.376+'29'!$E34</f>
        <v>4498.3017465826752</v>
      </c>
      <c r="M34" s="683">
        <f>('15'!G34+'15'!H34)/0.376+'29'!$F34</f>
        <v>18135.606249553661</v>
      </c>
      <c r="N34" s="694">
        <f>ROUND('15'!I34,1)/0.376+ROUND('29'!$G34,1)</f>
        <v>73837.359574468093</v>
      </c>
      <c r="O34" s="694">
        <f>ROUND('15'!J34,1)/0.376+ROUND('29'!$M34,1)</f>
        <v>166268.73617021277</v>
      </c>
      <c r="P34" s="314"/>
      <c r="Q34" s="806"/>
      <c r="R34" s="806"/>
      <c r="S34" s="806"/>
    </row>
    <row r="35" spans="1:19" s="306" customFormat="1" ht="16.5" customHeight="1">
      <c r="A35" s="405"/>
      <c r="B35" s="516" t="s">
        <v>418</v>
      </c>
      <c r="C35" s="659">
        <f>('14'!C35+'14'!D35+'14'!E35)/0.376+'28'!$C35+0.02</f>
        <v>24772.457493444741</v>
      </c>
      <c r="D35" s="659">
        <f>('14'!F35)/0.376+'28'!$D35</f>
        <v>37125.579095481851</v>
      </c>
      <c r="E35" s="685">
        <f>('14'!G35+'14'!H35)/0.376+'28'!$E35+0.01</f>
        <v>21865.157423044653</v>
      </c>
      <c r="F35" s="659">
        <f>('14'!I35)/0.376+'28'!$F35</f>
        <v>6367.3739661098334</v>
      </c>
      <c r="G35" s="689">
        <f>ROUND('14'!J35,1)/0.376+ROUND('28'!$G35,1)</f>
        <v>90130.674468085112</v>
      </c>
      <c r="H35" s="677">
        <f>ROUND('14'!K35,1)/0.376+ROUND('28'!$M35,1)</f>
        <v>149202.27872340425</v>
      </c>
      <c r="I35" s="690">
        <f>ROUND('14'!L35,1)/0.376+ROUND('28'!$N35,1)</f>
        <v>239332.95319148936</v>
      </c>
      <c r="J35" s="686">
        <f>('15'!C35+'15'!D35)/0.376+'29'!$C35</f>
        <v>12497.772302242845</v>
      </c>
      <c r="K35" s="678">
        <f>('15'!E35)/0.376+'29'!$D35</f>
        <v>38663.007906811319</v>
      </c>
      <c r="L35" s="685">
        <f>('15'!F35)/0.376+'29'!$E35+0.02</f>
        <v>4671.9571989759306</v>
      </c>
      <c r="M35" s="683">
        <f>('15'!G35+'15'!H35)/0.376+'29'!$F35+0.1</f>
        <v>17125.468297557803</v>
      </c>
      <c r="N35" s="694">
        <f>ROUND('15'!I35,1)/0.376+ROUND('29'!$G35,1)</f>
        <v>72958.268085106378</v>
      </c>
      <c r="O35" s="694">
        <f>ROUND('15'!J35,1)/0.376+ROUND('29'!$M35,1)</f>
        <v>166374.685106383</v>
      </c>
      <c r="P35" s="314"/>
      <c r="Q35" s="806"/>
      <c r="R35" s="806"/>
      <c r="S35" s="806"/>
    </row>
    <row r="36" spans="1:19" s="306" customFormat="1" ht="16.5" customHeight="1">
      <c r="A36" s="405"/>
      <c r="B36" s="516" t="s">
        <v>419</v>
      </c>
      <c r="C36" s="659">
        <f>('14'!C36+'14'!D36+'14'!E36)/0.376+'28'!$C36</f>
        <v>25450.975153784777</v>
      </c>
      <c r="D36" s="659">
        <f>('14'!F36)/0.376+'28'!$D36</f>
        <v>37445.258460910976</v>
      </c>
      <c r="E36" s="685">
        <f>('14'!G36+'14'!H36)/0.376+'28'!$E36</f>
        <v>21094.479411518209</v>
      </c>
      <c r="F36" s="659">
        <f>('14'!I36)/0.376+'28'!$F36</f>
        <v>6250.9051747943195</v>
      </c>
      <c r="G36" s="689">
        <f>ROUND('14'!J36,1)/0.376+ROUND('28'!$G36,1)</f>
        <v>90241.689361702127</v>
      </c>
      <c r="H36" s="677">
        <f>ROUND('14'!K36,1)/0.376+ROUND('28'!$M36,1)</f>
        <v>153554.56382978725</v>
      </c>
      <c r="I36" s="690">
        <f>ROUND('14'!L36,1)/0.376+ROUND('28'!$N36,1)</f>
        <v>243796.25319148938</v>
      </c>
      <c r="J36" s="686">
        <f>('15'!C36+'15'!D36)/0.376+'29'!$C36+0.03</f>
        <v>11545.858604323808</v>
      </c>
      <c r="K36" s="678">
        <f>('15'!E36)/0.376+'29'!$D36</f>
        <v>38887.86116230693</v>
      </c>
      <c r="L36" s="685">
        <f>('15'!F36)/0.376+'29'!$E36</f>
        <v>4880.2685050629516</v>
      </c>
      <c r="M36" s="683">
        <f>('15'!G36+'15'!H36)/0.376+'29'!$F36+0.05</f>
        <v>17053.959350706351</v>
      </c>
      <c r="N36" s="694">
        <f>ROUND('15'!I36,1)/0.376+ROUND('29'!$G36,1)+0.02</f>
        <v>72368.056170212774</v>
      </c>
      <c r="O36" s="694">
        <f>ROUND('15'!J36,1)/0.376+ROUND('29'!$M36,1)</f>
        <v>171428.21702127659</v>
      </c>
      <c r="P36" s="314"/>
      <c r="Q36" s="806"/>
      <c r="R36" s="806"/>
      <c r="S36" s="806"/>
    </row>
    <row r="37" spans="1:19" s="306" customFormat="1" ht="16.5" customHeight="1">
      <c r="A37" s="405"/>
      <c r="B37" s="516" t="s">
        <v>420</v>
      </c>
      <c r="C37" s="659">
        <f>('14'!C37+'14'!D37+'14'!E37)/0.376+'28'!$C37</f>
        <v>25960.693676159513</v>
      </c>
      <c r="D37" s="659">
        <f>('14'!F37)/0.376+'28'!$D37+0.02</f>
        <v>37665.35534526618</v>
      </c>
      <c r="E37" s="685">
        <f>('14'!G37+'14'!H37)/0.376+'28'!$E37</f>
        <v>21033.560678228005</v>
      </c>
      <c r="F37" s="659">
        <f>('14'!I37)/0.376+'28'!$F37</f>
        <v>6491.7599316717478</v>
      </c>
      <c r="G37" s="689">
        <f>ROUND('14'!J37,1)/0.376+ROUND('28'!$G37,1)</f>
        <v>91151.519148936175</v>
      </c>
      <c r="H37" s="677">
        <f>ROUND('14'!K37,1)/0.376+ROUND('28'!$M37,1)</f>
        <v>152498.76382978723</v>
      </c>
      <c r="I37" s="690">
        <f>ROUND('14'!L37,1)/0.376+ROUND('28'!$N37,1)</f>
        <v>243650.28297872341</v>
      </c>
      <c r="J37" s="686">
        <f>('15'!C37+'15'!D37)/0.376+'29'!$C37+0.02</f>
        <v>11691.361135835523</v>
      </c>
      <c r="K37" s="678">
        <f>('15'!E37)/0.376+'29'!$D37</f>
        <v>39272.611155599348</v>
      </c>
      <c r="L37" s="685">
        <f>('15'!F37)/0.376+'29'!$E37</f>
        <v>4877.2858344714559</v>
      </c>
      <c r="M37" s="683">
        <f>('15'!G37+'15'!H37)/0.376+'29'!$F37</f>
        <v>17142.679058777285</v>
      </c>
      <c r="N37" s="694">
        <f>ROUND('15'!I37,1)/0.376+ROUND('29'!$G37,1)</f>
        <v>72983.98723404255</v>
      </c>
      <c r="O37" s="694">
        <f>ROUND('15'!J37,1)/0.376+ROUND('29'!$M37,1)</f>
        <v>170666.29574468086</v>
      </c>
      <c r="P37" s="314"/>
      <c r="Q37" s="806"/>
      <c r="R37" s="806"/>
      <c r="S37" s="806"/>
    </row>
    <row r="38" spans="1:19" s="306" customFormat="1" ht="16.5" customHeight="1">
      <c r="A38" s="405"/>
      <c r="B38" s="516" t="s">
        <v>421</v>
      </c>
      <c r="C38" s="659">
        <f>('14'!C38+'14'!D38+'14'!E38)/0.376+'28'!$C38</f>
        <v>26270.266258323099</v>
      </c>
      <c r="D38" s="659">
        <f>('14'!F38)/0.376+'28'!$D38</f>
        <v>37388.723743595445</v>
      </c>
      <c r="E38" s="685">
        <f>('14'!G38+'14'!H38)/0.376+'28'!$E38</f>
        <v>21524.371222357557</v>
      </c>
      <c r="F38" s="659">
        <f>('14'!I38)/0.376+'28'!$F38</f>
        <v>6247.9901536887901</v>
      </c>
      <c r="G38" s="689">
        <f>ROUND('14'!J38,1)/0.376+ROUND('28'!$G38,1)+0.02</f>
        <v>91431.360425531922</v>
      </c>
      <c r="H38" s="677">
        <f>ROUND('14'!K38,1)/0.376+ROUND('28'!$M38,1)</f>
        <v>153854.53829787235</v>
      </c>
      <c r="I38" s="690">
        <f>ROUND('14'!L38,1)/0.376+ROUND('28'!$N38,1)</f>
        <v>245285.87872340425</v>
      </c>
      <c r="J38" s="686">
        <f>('15'!C38+'15'!D38)/0.376+'29'!$C38-0.02</f>
        <v>11571.943754221396</v>
      </c>
      <c r="K38" s="678">
        <f>('15'!E38)/0.376+'29'!$D38</f>
        <v>39484.238776504026</v>
      </c>
      <c r="L38" s="685">
        <f>('15'!F38)/0.376+'29'!$E38</f>
        <v>4853.1063001960247</v>
      </c>
      <c r="M38" s="683">
        <f>('15'!G38+'15'!H38)/0.376+'29'!$F38</f>
        <v>17118.126811623228</v>
      </c>
      <c r="N38" s="694">
        <f>ROUND('15'!I38,1)/0.376+ROUND('29'!$G38,1)</f>
        <v>73027.287234042538</v>
      </c>
      <c r="O38" s="694">
        <f>ROUND('15'!J38,1)/0.376+ROUND('29'!$M38,1)</f>
        <v>172258.59148936169</v>
      </c>
      <c r="P38" s="314"/>
      <c r="Q38" s="806"/>
      <c r="R38" s="806"/>
      <c r="S38" s="806"/>
    </row>
    <row r="39" spans="1:19" s="306" customFormat="1" ht="16.5" customHeight="1">
      <c r="A39" s="405"/>
      <c r="B39" s="516" t="s">
        <v>422</v>
      </c>
      <c r="C39" s="659">
        <f>('14'!C39+'14'!D39+'14'!E39)/0.376+'28'!$C39</f>
        <v>26830.41709472016</v>
      </c>
      <c r="D39" s="659">
        <f>('14'!F39)/0.376+'28'!$D39-0.05</f>
        <v>37380.129875584193</v>
      </c>
      <c r="E39" s="685">
        <f>('14'!G39+'14'!H39)/0.376+'28'!$E39</f>
        <v>21699.490053241254</v>
      </c>
      <c r="F39" s="659">
        <f>('14'!I39)/0.376+'28'!$F39-0.05</f>
        <v>6064.5374218135248</v>
      </c>
      <c r="G39" s="689">
        <f>ROUND('14'!J39,1)/0.376+ROUND('28'!$G39,1)</f>
        <v>91974.470212765955</v>
      </c>
      <c r="H39" s="677">
        <f>ROUND('14'!K39,1)/0.376+ROUND('28'!$M39,1)</f>
        <v>151111.78723404254</v>
      </c>
      <c r="I39" s="690">
        <f>ROUND('14'!L39,1)/0.376+ROUND('28'!$N39,1)</f>
        <v>243086.25744680851</v>
      </c>
      <c r="J39" s="686">
        <f>('15'!C39+'15'!D39)/0.376+'29'!$C39</f>
        <v>12182.80922494371</v>
      </c>
      <c r="K39" s="678">
        <f>('15'!E39)/0.376+'29'!$D39</f>
        <v>39472.787821869482</v>
      </c>
      <c r="L39" s="685">
        <f>('15'!F39)/0.376+'29'!$E39</f>
        <v>5661.7060681565299</v>
      </c>
      <c r="M39" s="683">
        <f>('15'!G39+'15'!H39)/0.376+'29'!$F39-0.05</f>
        <v>16950.133789460135</v>
      </c>
      <c r="N39" s="694">
        <f>ROUND('15'!I39,1)/0.376+ROUND('29'!$G39,1)+0.03</f>
        <v>74267.359787234047</v>
      </c>
      <c r="O39" s="694">
        <f>ROUND('15'!J39,1)/0.376+ROUND('29'!$M39,1)</f>
        <v>168818.92765957449</v>
      </c>
      <c r="P39" s="314"/>
      <c r="Q39" s="806"/>
      <c r="R39" s="806"/>
      <c r="S39" s="806"/>
    </row>
    <row r="40" spans="1:19" s="306" customFormat="1" ht="16.5" customHeight="1">
      <c r="A40" s="405"/>
      <c r="B40" s="516" t="s">
        <v>423</v>
      </c>
      <c r="C40" s="659">
        <f>('14'!C40+'14'!D40+'14'!E40)/0.376+'28'!$C40</f>
        <v>27976.981387339976</v>
      </c>
      <c r="D40" s="659">
        <f>('14'!F40)/0.376+'28'!$D40</f>
        <v>37351.602250639386</v>
      </c>
      <c r="E40" s="685">
        <f>('14'!G40+'14'!H40)/0.376+'28'!$E40</f>
        <v>21946.97107317136</v>
      </c>
      <c r="F40" s="659">
        <f>('14'!I40)/0.376+'28'!$F40</f>
        <v>6201.5936572183709</v>
      </c>
      <c r="G40" s="689">
        <f>ROUND('14'!J40,1)/0.376+ROUND('28'!$G40,1)-0.03</f>
        <v>93477.235957446814</v>
      </c>
      <c r="H40" s="677">
        <f>ROUND('14'!K40,1)/0.376+ROUND('28'!$M40,1)</f>
        <v>156250.88085106382</v>
      </c>
      <c r="I40" s="690">
        <f>ROUND('14'!L40,1)/0.376+ROUND('28'!$N40,1)</f>
        <v>249728.14680851065</v>
      </c>
      <c r="J40" s="686">
        <f>('15'!C40+'15'!D40)/0.376+'29'!$C40</f>
        <v>11832.233133446745</v>
      </c>
      <c r="K40" s="678">
        <f>('15'!E40)/0.376+'29'!$D40</f>
        <v>40358.003460695058</v>
      </c>
      <c r="L40" s="685">
        <f>('15'!F40)/0.376+'29'!$E40</f>
        <v>5308.1028577197685</v>
      </c>
      <c r="M40" s="683">
        <f>('15'!G40+'15'!H40)/0.376+'29'!$F40</f>
        <v>17674.907044088013</v>
      </c>
      <c r="N40" s="694">
        <f>ROUND('15'!I40,1)/0.376+ROUND('29'!$G40,1)-0.03</f>
        <v>75173.238085106379</v>
      </c>
      <c r="O40" s="694">
        <f>ROUND('15'!J40,1)/0.376+ROUND('29'!$M40,1)</f>
        <v>174554.87872340425</v>
      </c>
      <c r="P40" s="314"/>
      <c r="Q40" s="806"/>
      <c r="R40" s="806"/>
      <c r="S40" s="806"/>
    </row>
    <row r="41" spans="1:19" s="306" customFormat="1" ht="16.5" customHeight="1">
      <c r="A41" s="405"/>
      <c r="B41" s="516" t="s">
        <v>424</v>
      </c>
      <c r="C41" s="659">
        <f>('14'!C41+'14'!D41+'14'!E41)/0.376+'28'!$C41</f>
        <v>27088.860441086363</v>
      </c>
      <c r="D41" s="659">
        <f>('14'!F41)/0.376+'28'!$D41</f>
        <v>37337.627714022434</v>
      </c>
      <c r="E41" s="685">
        <f>('14'!G41+'14'!H41)/0.376+'28'!$E41</f>
        <v>21608.916010563094</v>
      </c>
      <c r="F41" s="659">
        <f>('14'!I41)/0.376+'28'!$F41</f>
        <v>5803.9482516716243</v>
      </c>
      <c r="G41" s="689">
        <f>ROUND('14'!J41,1)/0.376+ROUND('28'!$G41,1)</f>
        <v>91839.321276595743</v>
      </c>
      <c r="H41" s="677">
        <f>ROUND('14'!K41,1)/0.376+ROUND('28'!$M41,1)</f>
        <v>156166.79574468086</v>
      </c>
      <c r="I41" s="690">
        <f>ROUND('14'!L41,1)/0.376+ROUND('28'!$N41,1)</f>
        <v>248006.11702127659</v>
      </c>
      <c r="J41" s="686">
        <f>('15'!C41+'15'!D41)/0.376+'29'!$C41</f>
        <v>12012.411639256243</v>
      </c>
      <c r="K41" s="678">
        <f>('15'!E41)/0.376+'29'!$D41</f>
        <v>39867.96023966324</v>
      </c>
      <c r="L41" s="685">
        <f>('15'!F41)/0.376+'29'!$E41</f>
        <v>5427.746964092089</v>
      </c>
      <c r="M41" s="683">
        <f>('15'!G41+'15'!H41)/0.376+'29'!$F41</f>
        <v>16856.759165620555</v>
      </c>
      <c r="N41" s="694">
        <f>ROUND('15'!I41,1)/0.376+ROUND('29'!$G41,1)-0.02</f>
        <v>74164.935319148935</v>
      </c>
      <c r="O41" s="694">
        <f>ROUND('15'!J41,1)/0.376+ROUND('29'!$M41,1)</f>
        <v>173841.16170212766</v>
      </c>
      <c r="P41" s="314"/>
      <c r="Q41" s="806"/>
      <c r="R41" s="806"/>
      <c r="S41" s="806"/>
    </row>
    <row r="42" spans="1:19" s="306" customFormat="1" ht="16.5" customHeight="1">
      <c r="A42" s="405"/>
      <c r="B42" s="516" t="s">
        <v>425</v>
      </c>
      <c r="C42" s="659">
        <f>('14'!C42+'14'!D42+'14'!E42)/0.376+'28'!$C42</f>
        <v>28226.969604833022</v>
      </c>
      <c r="D42" s="659">
        <f>('14'!F42)/0.376+'28'!$D42</f>
        <v>36673.793531618336</v>
      </c>
      <c r="E42" s="685">
        <f>('14'!G42+'14'!H42)/0.376+'28'!$E42</f>
        <v>21338.166673696938</v>
      </c>
      <c r="F42" s="659">
        <f>('14'!I42)/0.376+'28'!$F42-0.01</f>
        <v>5955.8414671149521</v>
      </c>
      <c r="G42" s="689">
        <f>ROUND('14'!J42,1)/0.376+ROUND('28'!$G42,1)</f>
        <v>92194.806382978728</v>
      </c>
      <c r="H42" s="677">
        <f>ROUND('14'!K42,1)/0.376+ROUND('28'!$M42,1)</f>
        <v>153582.05531914893</v>
      </c>
      <c r="I42" s="690">
        <f>ROUND('14'!L42,1)/0.376+ROUND('28'!$N42,1)</f>
        <v>245776.86170212767</v>
      </c>
      <c r="J42" s="686">
        <f>('15'!C42+'15'!D42)/0.376+'29'!$C42-0.02</f>
        <v>12257.13739704293</v>
      </c>
      <c r="K42" s="678">
        <f>('15'!E42)/0.376+'29'!$D42</f>
        <v>39229.692263872581</v>
      </c>
      <c r="L42" s="685">
        <f>('15'!F42)/0.376+'29'!$E42-0.05</f>
        <v>5262.4277407708478</v>
      </c>
      <c r="M42" s="683">
        <f>('15'!G42+'15'!H42)/0.376+'29'!$F42</f>
        <v>17304.940055003794</v>
      </c>
      <c r="N42" s="694">
        <f>ROUND('15'!I42,1)/0.376+ROUND('29'!$G42,1)</f>
        <v>74054.095744680846</v>
      </c>
      <c r="O42" s="694">
        <f>ROUND('15'!J42,1)/0.376+ROUND('29'!$M42,1)</f>
        <v>171722.7659574468</v>
      </c>
      <c r="P42" s="314"/>
      <c r="Q42" s="806"/>
      <c r="R42" s="806"/>
      <c r="S42" s="806"/>
    </row>
    <row r="43" spans="1:19" s="306" customFormat="1" ht="16.5" customHeight="1">
      <c r="A43" s="405"/>
      <c r="B43" s="516" t="s">
        <v>426</v>
      </c>
      <c r="C43" s="659">
        <f>('14'!C43+'14'!D43+'14'!E43)/0.376+'28'!$C43-0.05</f>
        <v>26039.231394276245</v>
      </c>
      <c r="D43" s="659">
        <f>('14'!F43)/0.376+'28'!$D43-0.05</f>
        <v>36160.126274693896</v>
      </c>
      <c r="E43" s="685">
        <f>('14'!G43+'14'!H43)/0.376+'28'!$E43-0.06</f>
        <v>22065.542366984151</v>
      </c>
      <c r="F43" s="659">
        <f>('14'!I43)/0.376+'28'!$F43</f>
        <v>5634.1166633557023</v>
      </c>
      <c r="G43" s="689">
        <f>ROUND('14'!J43,1)/0.376+ROUND('28'!$G43,1)</f>
        <v>89898.948936170214</v>
      </c>
      <c r="H43" s="677">
        <f>ROUND('14'!K43,1)/0.376+ROUND('28'!$M43,1)</f>
        <v>157928.67234042555</v>
      </c>
      <c r="I43" s="690">
        <f>ROUND('14'!L43,1)/0.376+ROUND('28'!$N43,1)</f>
        <v>247827.62127659575</v>
      </c>
      <c r="J43" s="686">
        <f>('15'!C43+'15'!D43)/0.376+'29'!$C43+0.03</f>
        <v>11690.662380256965</v>
      </c>
      <c r="K43" s="678">
        <f>('15'!E43)/0.376+'29'!$D43</f>
        <v>38944.58166446878</v>
      </c>
      <c r="L43" s="685">
        <f>('15'!F43)/0.376+'29'!$E43+0.01</f>
        <v>5210.4576074336073</v>
      </c>
      <c r="M43" s="683">
        <f>('15'!G43+'15'!H43)/0.376+'29'!$F43</f>
        <v>17197.435249246348</v>
      </c>
      <c r="N43" s="694">
        <f>ROUND('15'!I43,1)/0.376+ROUND('29'!$G43,1)</f>
        <v>73043.204255319142</v>
      </c>
      <c r="O43" s="694">
        <f>ROUND('15'!J43,1)/0.376+ROUND('29'!$M43,1)</f>
        <v>174784.4170212766</v>
      </c>
      <c r="P43" s="314"/>
      <c r="Q43" s="806"/>
      <c r="R43" s="806"/>
      <c r="S43" s="806"/>
    </row>
    <row r="44" spans="1:19" s="2" customFormat="1" ht="20.25" customHeight="1">
      <c r="A44" s="215" t="s">
        <v>765</v>
      </c>
      <c r="B44" s="1658"/>
      <c r="C44" s="217"/>
      <c r="D44" s="217"/>
      <c r="E44" s="217"/>
      <c r="F44" s="217"/>
      <c r="G44" s="217"/>
      <c r="H44" s="217"/>
      <c r="I44" s="1659"/>
      <c r="J44" s="1659"/>
      <c r="K44" s="215"/>
      <c r="L44" s="215"/>
      <c r="M44" s="215"/>
      <c r="N44" s="215"/>
      <c r="O44" s="236" t="s">
        <v>766</v>
      </c>
    </row>
    <row r="45" spans="1:19" s="2" customFormat="1" ht="13.7" customHeight="1">
      <c r="A45" s="5" t="s">
        <v>767</v>
      </c>
      <c r="B45" s="1660"/>
      <c r="H45" s="5"/>
      <c r="I45" s="5"/>
      <c r="O45" s="237" t="s">
        <v>768</v>
      </c>
    </row>
    <row r="46" spans="1:19" ht="7.5" customHeight="1">
      <c r="L46" s="25"/>
      <c r="N46" s="25"/>
      <c r="O46" s="25"/>
    </row>
    <row r="47" spans="1:19" s="38" customFormat="1" ht="14.25">
      <c r="A47" s="317" t="s">
        <v>769</v>
      </c>
      <c r="B47" s="317"/>
      <c r="C47" s="317"/>
      <c r="D47" s="317"/>
      <c r="E47" s="317"/>
      <c r="F47" s="317"/>
      <c r="G47" s="317"/>
      <c r="H47" s="317"/>
      <c r="I47" s="317"/>
      <c r="J47" s="317"/>
      <c r="K47" s="317"/>
      <c r="L47" s="317"/>
      <c r="M47" s="317"/>
      <c r="N47" s="317"/>
      <c r="O47" s="317"/>
    </row>
    <row r="48" spans="1:19">
      <c r="A48" s="146"/>
      <c r="B48" s="10"/>
      <c r="C48" s="1976"/>
      <c r="D48" s="1976"/>
      <c r="E48" s="1976"/>
      <c r="F48" s="1976"/>
      <c r="G48" s="1976"/>
      <c r="H48" s="1976"/>
      <c r="I48" s="1976"/>
      <c r="J48" s="1976"/>
      <c r="K48" s="1976"/>
      <c r="L48" s="1976"/>
      <c r="M48" s="1976"/>
      <c r="N48" s="1976"/>
      <c r="O48" s="1976"/>
    </row>
    <row r="49" spans="3:15">
      <c r="C49" s="1976"/>
      <c r="D49" s="1976"/>
      <c r="E49" s="1976"/>
      <c r="F49" s="1976"/>
      <c r="G49" s="1976"/>
      <c r="H49" s="1976"/>
      <c r="I49" s="1976"/>
      <c r="J49" s="1976"/>
      <c r="K49" s="1976"/>
      <c r="L49" s="1976"/>
      <c r="M49" s="1976"/>
      <c r="N49" s="1976"/>
      <c r="O49" s="1976"/>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8" activePane="bottomLeft" state="frozen"/>
      <selection activeCell="B12" sqref="B12"/>
      <selection pane="bottomLeft" activeCell="K39" sqref="K39"/>
    </sheetView>
  </sheetViews>
  <sheetFormatPr defaultColWidth="7.85546875" defaultRowHeight="15"/>
  <cols>
    <col min="1" max="2" width="9.28515625" style="25"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1778</v>
      </c>
      <c r="B1" s="12"/>
      <c r="C1" s="11"/>
      <c r="D1" s="11"/>
      <c r="E1" s="11"/>
      <c r="F1" s="11"/>
      <c r="G1" s="11"/>
      <c r="H1" s="11"/>
      <c r="I1" s="11"/>
      <c r="J1" s="11"/>
      <c r="K1" s="11"/>
      <c r="L1" s="11"/>
      <c r="M1" s="11"/>
    </row>
    <row r="2" spans="1:15" ht="18">
      <c r="A2" s="898" t="s">
        <v>770</v>
      </c>
      <c r="B2" s="12"/>
      <c r="C2" s="11"/>
      <c r="D2" s="11"/>
      <c r="E2" s="11"/>
      <c r="F2" s="11"/>
      <c r="G2" s="11"/>
      <c r="H2" s="11"/>
      <c r="I2" s="11"/>
      <c r="J2" s="11"/>
      <c r="K2" s="11"/>
      <c r="L2" s="11"/>
      <c r="M2" s="11"/>
    </row>
    <row r="3" spans="1:15" ht="18">
      <c r="A3" s="16" t="s">
        <v>771</v>
      </c>
      <c r="B3" s="12"/>
      <c r="C3" s="11"/>
      <c r="D3" s="11"/>
      <c r="E3" s="11"/>
      <c r="F3" s="11"/>
      <c r="G3" s="11"/>
      <c r="H3" s="11"/>
      <c r="I3" s="11"/>
      <c r="J3" s="11"/>
      <c r="K3" s="11"/>
      <c r="L3" s="11"/>
      <c r="M3" s="11"/>
    </row>
    <row r="4" spans="1:15" ht="18">
      <c r="A4" s="898" t="s">
        <v>376</v>
      </c>
      <c r="B4" s="12"/>
      <c r="C4" s="11"/>
      <c r="D4" s="11"/>
      <c r="E4" s="11"/>
      <c r="F4" s="11"/>
      <c r="G4" s="11"/>
      <c r="H4" s="11"/>
      <c r="I4" s="11"/>
      <c r="J4" s="11"/>
      <c r="K4" s="11"/>
      <c r="L4" s="11"/>
      <c r="M4" s="11"/>
    </row>
    <row r="5" spans="1:15" ht="18" customHeight="1">
      <c r="A5" s="16" t="s">
        <v>375</v>
      </c>
      <c r="B5" s="12"/>
      <c r="C5" s="11"/>
      <c r="D5" s="11"/>
      <c r="E5" s="11"/>
      <c r="F5" s="11"/>
      <c r="G5" s="11"/>
      <c r="H5" s="11"/>
      <c r="I5" s="11"/>
      <c r="J5" s="11"/>
      <c r="K5" s="11"/>
      <c r="L5" s="11"/>
      <c r="M5" s="11"/>
    </row>
    <row r="6" spans="1:15" ht="1.5" hidden="1" customHeight="1">
      <c r="A6" s="16"/>
      <c r="B6" s="12"/>
      <c r="C6" s="11"/>
      <c r="D6" s="11" t="s">
        <v>772</v>
      </c>
      <c r="E6" s="11"/>
      <c r="F6" s="11"/>
      <c r="G6" s="11"/>
      <c r="H6" s="11"/>
      <c r="I6" s="11"/>
      <c r="J6" s="11"/>
      <c r="K6" s="11"/>
      <c r="L6" s="11" t="s">
        <v>772</v>
      </c>
      <c r="M6" s="11"/>
    </row>
    <row r="7" spans="1:15">
      <c r="A7" s="8" t="s">
        <v>373</v>
      </c>
      <c r="B7" s="12"/>
      <c r="C7" s="14"/>
      <c r="D7" s="14"/>
      <c r="E7" s="14"/>
      <c r="F7" s="14"/>
      <c r="G7" s="14"/>
      <c r="H7" s="14"/>
      <c r="I7" s="14"/>
      <c r="J7" s="14"/>
      <c r="K7" s="14"/>
      <c r="L7" s="14"/>
      <c r="M7" s="21" t="s">
        <v>374</v>
      </c>
    </row>
    <row r="8" spans="1:15" s="39" customFormat="1" ht="18.600000000000001" customHeight="1">
      <c r="A8" s="53"/>
      <c r="B8" s="127"/>
      <c r="C8" s="300" t="s">
        <v>497</v>
      </c>
      <c r="D8" s="123"/>
      <c r="E8" s="123"/>
      <c r="F8" s="123"/>
      <c r="G8" s="123"/>
      <c r="H8" s="123"/>
      <c r="I8" s="133"/>
      <c r="J8" s="301" t="s">
        <v>495</v>
      </c>
      <c r="K8" s="124"/>
      <c r="L8" s="128"/>
      <c r="M8" s="72" t="s">
        <v>773</v>
      </c>
    </row>
    <row r="9" spans="1:15" s="39" customFormat="1" ht="15.75">
      <c r="A9" s="1949"/>
      <c r="B9" s="1933"/>
      <c r="C9" s="70"/>
      <c r="D9" s="79" t="s">
        <v>498</v>
      </c>
      <c r="E9" s="70"/>
      <c r="F9" s="79" t="s">
        <v>504</v>
      </c>
      <c r="G9" s="22" t="s">
        <v>395</v>
      </c>
      <c r="H9" s="115"/>
      <c r="I9" s="79"/>
      <c r="J9" s="70"/>
      <c r="K9" s="129" t="s">
        <v>376</v>
      </c>
      <c r="L9" s="233" t="s">
        <v>434</v>
      </c>
      <c r="M9" s="129" t="s">
        <v>774</v>
      </c>
    </row>
    <row r="10" spans="1:15" s="39" customFormat="1" ht="15.95" customHeight="1">
      <c r="A10" s="24" t="s">
        <v>383</v>
      </c>
      <c r="B10" s="74"/>
      <c r="C10" s="95" t="s">
        <v>775</v>
      </c>
      <c r="D10" s="79" t="s">
        <v>502</v>
      </c>
      <c r="E10" s="79" t="s">
        <v>436</v>
      </c>
      <c r="F10" s="271" t="s">
        <v>759</v>
      </c>
      <c r="G10" s="97" t="s">
        <v>776</v>
      </c>
      <c r="H10" s="74"/>
      <c r="I10" s="79" t="s">
        <v>760</v>
      </c>
      <c r="J10" s="129" t="s">
        <v>386</v>
      </c>
      <c r="K10" s="129" t="s">
        <v>379</v>
      </c>
      <c r="L10" s="233" t="s">
        <v>376</v>
      </c>
      <c r="M10" s="51" t="s">
        <v>777</v>
      </c>
    </row>
    <row r="11" spans="1:15" s="39" customFormat="1" ht="30.75" customHeight="1">
      <c r="A11" s="118" t="s">
        <v>391</v>
      </c>
      <c r="B11" s="60"/>
      <c r="C11" s="228" t="s">
        <v>778</v>
      </c>
      <c r="D11" s="1249" t="s">
        <v>370</v>
      </c>
      <c r="E11" s="107" t="s">
        <v>410</v>
      </c>
      <c r="F11" s="51" t="s">
        <v>779</v>
      </c>
      <c r="G11" s="227" t="s">
        <v>780</v>
      </c>
      <c r="H11" s="227" t="s">
        <v>781</v>
      </c>
      <c r="I11" s="226" t="s">
        <v>404</v>
      </c>
      <c r="J11" s="225" t="s">
        <v>397</v>
      </c>
      <c r="K11" s="51" t="s">
        <v>782</v>
      </c>
      <c r="L11" s="224" t="s">
        <v>783</v>
      </c>
      <c r="M11" s="51" t="s">
        <v>784</v>
      </c>
    </row>
    <row r="12" spans="1:15" s="39" customFormat="1" ht="15.75">
      <c r="A12" s="47"/>
      <c r="B12" s="66"/>
      <c r="C12" s="130"/>
      <c r="D12" s="1950"/>
      <c r="E12" s="52" t="s">
        <v>785</v>
      </c>
      <c r="F12" s="93" t="s">
        <v>786</v>
      </c>
      <c r="G12" s="52" t="s">
        <v>787</v>
      </c>
      <c r="H12" s="52" t="s">
        <v>788</v>
      </c>
      <c r="I12" s="52"/>
      <c r="J12" s="52"/>
      <c r="K12" s="131"/>
      <c r="L12" s="132"/>
      <c r="M12" s="93" t="s">
        <v>789</v>
      </c>
    </row>
    <row r="13" spans="1:15" s="306" customFormat="1" ht="20.25" customHeight="1">
      <c r="A13" s="405">
        <v>2015</v>
      </c>
      <c r="B13" s="406"/>
      <c r="C13" s="1951">
        <v>124.93659186170002</v>
      </c>
      <c r="D13" s="825">
        <v>1183.7338495305037</v>
      </c>
      <c r="E13" s="703">
        <v>1767.8863280111586</v>
      </c>
      <c r="F13" s="703">
        <v>8627.4141532148751</v>
      </c>
      <c r="G13" s="701">
        <v>297.13861029499992</v>
      </c>
      <c r="H13" s="1952">
        <v>3604.7620695392507</v>
      </c>
      <c r="I13" s="702">
        <v>917.76130067782003</v>
      </c>
      <c r="J13" s="703">
        <v>16523.552903078973</v>
      </c>
      <c r="K13" s="1953">
        <v>14378.745316284207</v>
      </c>
      <c r="L13" s="704">
        <v>30902.29821936318</v>
      </c>
      <c r="M13" s="1954">
        <v>3549.4861080687351</v>
      </c>
      <c r="N13" s="1098"/>
      <c r="O13" s="801"/>
    </row>
    <row r="14" spans="1:15" s="408" customFormat="1" ht="14.25" customHeight="1">
      <c r="A14" s="356">
        <v>2016</v>
      </c>
      <c r="B14" s="407"/>
      <c r="C14" s="1955">
        <v>135.30073358308633</v>
      </c>
      <c r="D14" s="1956">
        <v>1018.7022749116126</v>
      </c>
      <c r="E14" s="1957">
        <v>2070.7252222487086</v>
      </c>
      <c r="F14" s="1957">
        <v>8755.5592465315076</v>
      </c>
      <c r="G14" s="1958">
        <v>293.39917654400006</v>
      </c>
      <c r="H14" s="1959">
        <v>4342.8140858987144</v>
      </c>
      <c r="I14" s="1960">
        <v>732.53085481721962</v>
      </c>
      <c r="J14" s="1957">
        <v>17349.011085939197</v>
      </c>
      <c r="K14" s="1961">
        <v>13864.540338904006</v>
      </c>
      <c r="L14" s="1962">
        <v>31213.541424843206</v>
      </c>
      <c r="M14" s="1963">
        <v>4043.1942213319253</v>
      </c>
      <c r="N14" s="1098"/>
      <c r="O14" s="801"/>
    </row>
    <row r="15" spans="1:15" s="408" customFormat="1" ht="14.25" customHeight="1">
      <c r="A15" s="356">
        <v>2017</v>
      </c>
      <c r="B15" s="407"/>
      <c r="C15" s="1955">
        <v>135.87010868949105</v>
      </c>
      <c r="D15" s="1956">
        <v>1130.2101811241891</v>
      </c>
      <c r="E15" s="1957">
        <v>1860.4555624995869</v>
      </c>
      <c r="F15" s="1957">
        <v>8970.1976701133171</v>
      </c>
      <c r="G15" s="1958">
        <v>333.19405482585466</v>
      </c>
      <c r="H15" s="1959">
        <v>4737.1702734140645</v>
      </c>
      <c r="I15" s="1960">
        <v>857.84656973846245</v>
      </c>
      <c r="J15" s="1957">
        <v>18024.964402942245</v>
      </c>
      <c r="K15" s="1961">
        <v>13364.043650535194</v>
      </c>
      <c r="L15" s="1962">
        <v>31388.988053477431</v>
      </c>
      <c r="M15" s="1963">
        <v>5461.3227363955975</v>
      </c>
      <c r="N15" s="1098"/>
      <c r="O15" s="801"/>
    </row>
    <row r="16" spans="1:15" s="321" customFormat="1" ht="14.25" customHeight="1">
      <c r="A16" s="770">
        <v>2018</v>
      </c>
      <c r="B16" s="771"/>
      <c r="C16" s="1177">
        <v>153.61401866671198</v>
      </c>
      <c r="D16" s="664">
        <v>889.0274201716195</v>
      </c>
      <c r="E16" s="742">
        <v>2070.5527012026528</v>
      </c>
      <c r="F16" s="742">
        <v>9860.5224357719762</v>
      </c>
      <c r="G16" s="645">
        <v>261.09804778127256</v>
      </c>
      <c r="H16" s="1178">
        <v>4790.9151197145866</v>
      </c>
      <c r="I16" s="1179">
        <v>913.60152774705796</v>
      </c>
      <c r="J16" s="742">
        <v>18939.31694201149</v>
      </c>
      <c r="K16" s="1180">
        <v>13629.708080063867</v>
      </c>
      <c r="L16" s="1181">
        <v>32569.025022075359</v>
      </c>
      <c r="M16" s="1182">
        <v>6068.6923156719404</v>
      </c>
      <c r="N16" s="1093"/>
      <c r="O16" s="801"/>
    </row>
    <row r="17" spans="1:15" s="321" customFormat="1" ht="14.25" customHeight="1">
      <c r="A17" s="770">
        <v>2019</v>
      </c>
      <c r="B17" s="771"/>
      <c r="C17" s="1177">
        <v>152.01815108439322</v>
      </c>
      <c r="D17" s="664">
        <v>1443.5138628727032</v>
      </c>
      <c r="E17" s="742">
        <v>1956.5127468639735</v>
      </c>
      <c r="F17" s="742">
        <v>9966.7851993423283</v>
      </c>
      <c r="G17" s="645">
        <v>301.55684848336523</v>
      </c>
      <c r="H17" s="1178">
        <v>5235.0001561828694</v>
      </c>
      <c r="I17" s="1179">
        <v>891.202485273717</v>
      </c>
      <c r="J17" s="742">
        <v>19946.568477436442</v>
      </c>
      <c r="K17" s="1180">
        <v>15423.23278930428</v>
      </c>
      <c r="L17" s="1181">
        <v>35369.801266740717</v>
      </c>
      <c r="M17" s="1182">
        <v>6799.8420027608672</v>
      </c>
      <c r="N17" s="1093"/>
      <c r="O17" s="801"/>
    </row>
    <row r="18" spans="1:15" s="321" customFormat="1" ht="14.25" customHeight="1">
      <c r="A18" s="770">
        <v>2020</v>
      </c>
      <c r="B18" s="771"/>
      <c r="C18" s="1177">
        <v>152.14040643960661</v>
      </c>
      <c r="D18" s="664">
        <v>1343.9381437547299</v>
      </c>
      <c r="E18" s="742">
        <v>1815.8812734186554</v>
      </c>
      <c r="F18" s="742">
        <v>10644.319226108561</v>
      </c>
      <c r="G18" s="645">
        <v>369.604072205649</v>
      </c>
      <c r="H18" s="1178">
        <v>5641.1092276645286</v>
      </c>
      <c r="I18" s="1179">
        <v>972.75730277415607</v>
      </c>
      <c r="J18" s="742">
        <v>20939.749652365885</v>
      </c>
      <c r="K18" s="1180">
        <v>14507.584865149944</v>
      </c>
      <c r="L18" s="1181">
        <v>35447.334517515825</v>
      </c>
      <c r="M18" s="1182">
        <v>7078.9765895044402</v>
      </c>
      <c r="N18" s="1093"/>
      <c r="O18" s="801"/>
    </row>
    <row r="19" spans="1:15" s="321" customFormat="1" ht="14.25" customHeight="1">
      <c r="A19" s="770">
        <v>2021</v>
      </c>
      <c r="B19" s="771"/>
      <c r="C19" s="1177">
        <v>145.95841701867218</v>
      </c>
      <c r="D19" s="664">
        <v>1748.0306685540097</v>
      </c>
      <c r="E19" s="742">
        <v>1919.9081666985462</v>
      </c>
      <c r="F19" s="742">
        <v>11111.127374236223</v>
      </c>
      <c r="G19" s="645">
        <v>454.44417880146625</v>
      </c>
      <c r="H19" s="1178">
        <v>5824.9829172615428</v>
      </c>
      <c r="I19" s="1179">
        <v>921.75746726784905</v>
      </c>
      <c r="J19" s="742">
        <v>22126.199189433308</v>
      </c>
      <c r="K19" s="1180">
        <v>15247.818099927881</v>
      </c>
      <c r="L19" s="1181">
        <v>37374.017289361189</v>
      </c>
      <c r="M19" s="1182">
        <v>7469.5470989989062</v>
      </c>
      <c r="N19" s="1093"/>
      <c r="O19" s="801"/>
    </row>
    <row r="20" spans="1:15" s="321" customFormat="1" ht="14.25" customHeight="1">
      <c r="A20" s="770">
        <v>2022</v>
      </c>
      <c r="B20" s="771"/>
      <c r="C20" s="1177">
        <v>177.85355717154039</v>
      </c>
      <c r="D20" s="664">
        <v>3044.7492307360289</v>
      </c>
      <c r="E20" s="742">
        <v>1542.2672522382782</v>
      </c>
      <c r="F20" s="742">
        <v>11505.400231115644</v>
      </c>
      <c r="G20" s="645">
        <v>629.84344403702517</v>
      </c>
      <c r="H20" s="1178">
        <v>5789.0690879326748</v>
      </c>
      <c r="I20" s="1179">
        <v>1193.238695635368</v>
      </c>
      <c r="J20" s="742">
        <v>23882.421498866555</v>
      </c>
      <c r="K20" s="1180">
        <v>14365.004196472149</v>
      </c>
      <c r="L20" s="1181">
        <v>38247.425695338708</v>
      </c>
      <c r="M20" s="1182">
        <v>9227.6589447925835</v>
      </c>
      <c r="N20" s="1093"/>
      <c r="O20" s="801"/>
    </row>
    <row r="21" spans="1:15" s="321" customFormat="1" ht="14.25" customHeight="1">
      <c r="A21" s="770">
        <v>2023</v>
      </c>
      <c r="B21" s="771"/>
      <c r="C21" s="1177">
        <f t="shared" ref="C21:M21" si="0">C26</f>
        <v>135.90690119702001</v>
      </c>
      <c r="D21" s="664">
        <f t="shared" si="0"/>
        <v>4327.50315745848</v>
      </c>
      <c r="E21" s="742">
        <f t="shared" si="0"/>
        <v>1808.49274727122</v>
      </c>
      <c r="F21" s="742">
        <f t="shared" si="0"/>
        <v>11804.930969689533</v>
      </c>
      <c r="G21" s="645">
        <f t="shared" si="0"/>
        <v>925.35881948390079</v>
      </c>
      <c r="H21" s="1178">
        <f t="shared" si="0"/>
        <v>5538.6275134443949</v>
      </c>
      <c r="I21" s="1179">
        <f t="shared" si="0"/>
        <v>1111.5111251601061</v>
      </c>
      <c r="J21" s="742">
        <f t="shared" si="0"/>
        <v>25652.321233704653</v>
      </c>
      <c r="K21" s="1180">
        <f t="shared" si="0"/>
        <v>14608.358006707931</v>
      </c>
      <c r="L21" s="1181">
        <f t="shared" si="0"/>
        <v>40260.679240412581</v>
      </c>
      <c r="M21" s="1182">
        <f t="shared" si="0"/>
        <v>8085.7206714014173</v>
      </c>
      <c r="N21" s="1093"/>
      <c r="O21" s="801"/>
    </row>
    <row r="22" spans="1:15" s="321" customFormat="1" ht="14.25" customHeight="1">
      <c r="A22" s="930">
        <v>2024</v>
      </c>
      <c r="B22" s="1025"/>
      <c r="C22" s="1087">
        <f t="shared" ref="C22:M22" si="1">C30</f>
        <v>136.80272008418029</v>
      </c>
      <c r="D22" s="1030">
        <f t="shared" si="1"/>
        <v>4630.361426748038</v>
      </c>
      <c r="E22" s="1338">
        <f t="shared" si="1"/>
        <v>2014.6235242127937</v>
      </c>
      <c r="F22" s="1034">
        <f t="shared" si="1"/>
        <v>11897.037488911043</v>
      </c>
      <c r="G22" s="1054">
        <f t="shared" si="1"/>
        <v>1160.0747486541443</v>
      </c>
      <c r="H22" s="1088">
        <f t="shared" si="1"/>
        <v>5774.3295687969949</v>
      </c>
      <c r="I22" s="1089">
        <f t="shared" si="1"/>
        <v>1249.8445850251187</v>
      </c>
      <c r="J22" s="1034">
        <f t="shared" si="1"/>
        <v>26863.024062432312</v>
      </c>
      <c r="K22" s="1090">
        <f t="shared" si="1"/>
        <v>14846.494816834533</v>
      </c>
      <c r="L22" s="1091">
        <f t="shared" si="1"/>
        <v>41709.518879266841</v>
      </c>
      <c r="M22" s="1092">
        <f t="shared" si="1"/>
        <v>7311.1839031034806</v>
      </c>
      <c r="N22" s="1093"/>
      <c r="O22" s="801"/>
    </row>
    <row r="23" spans="1:15" s="321" customFormat="1" ht="21" customHeight="1">
      <c r="A23" s="770">
        <v>2023</v>
      </c>
      <c r="B23" s="771" t="s">
        <v>243</v>
      </c>
      <c r="C23" s="1177">
        <v>131.87541387624393</v>
      </c>
      <c r="D23" s="664">
        <v>3534.0911619240001</v>
      </c>
      <c r="E23" s="742">
        <v>1567.264864492794</v>
      </c>
      <c r="F23" s="742">
        <v>11940.224717770679</v>
      </c>
      <c r="G23" s="645">
        <v>544.83403827012717</v>
      </c>
      <c r="H23" s="1178">
        <v>5689.5419984553728</v>
      </c>
      <c r="I23" s="1179">
        <v>1287.6623256838716</v>
      </c>
      <c r="J23" s="742">
        <v>24695.504520473085</v>
      </c>
      <c r="K23" s="1180">
        <v>12943.367692286973</v>
      </c>
      <c r="L23" s="1181">
        <v>37638.872212760056</v>
      </c>
      <c r="M23" s="1182">
        <v>9674.2029730110735</v>
      </c>
      <c r="N23" s="1093"/>
      <c r="O23" s="314"/>
    </row>
    <row r="24" spans="1:15" s="321" customFormat="1">
      <c r="A24" s="770"/>
      <c r="B24" s="771" t="s">
        <v>244</v>
      </c>
      <c r="C24" s="1177">
        <v>146.66056144833468</v>
      </c>
      <c r="D24" s="664">
        <v>3933.7282855055023</v>
      </c>
      <c r="E24" s="742">
        <v>1620.201928477961</v>
      </c>
      <c r="F24" s="742">
        <v>11950.216744974832</v>
      </c>
      <c r="G24" s="645">
        <v>612.03977124055257</v>
      </c>
      <c r="H24" s="1178">
        <v>5562.6081267940199</v>
      </c>
      <c r="I24" s="1179">
        <v>1118.491480316155</v>
      </c>
      <c r="J24" s="742">
        <v>24943.926898757352</v>
      </c>
      <c r="K24" s="1180">
        <v>13295.553111390338</v>
      </c>
      <c r="L24" s="1181">
        <v>38239.480010147694</v>
      </c>
      <c r="M24" s="1182">
        <v>8312.5030393493435</v>
      </c>
      <c r="N24" s="1093"/>
      <c r="O24" s="314"/>
    </row>
    <row r="25" spans="1:15" s="321" customFormat="1">
      <c r="A25" s="770"/>
      <c r="B25" s="771" t="s">
        <v>245</v>
      </c>
      <c r="C25" s="1177">
        <v>143.8280445004676</v>
      </c>
      <c r="D25" s="664">
        <v>4335.0633941236902</v>
      </c>
      <c r="E25" s="1964">
        <v>1744.028653496825</v>
      </c>
      <c r="F25" s="742">
        <v>11892.156967327952</v>
      </c>
      <c r="G25" s="645">
        <v>626.95579730826717</v>
      </c>
      <c r="H25" s="1178">
        <v>5494.3308578974238</v>
      </c>
      <c r="I25" s="1179">
        <v>1129.4429898623905</v>
      </c>
      <c r="J25" s="742">
        <v>25365.826704517018</v>
      </c>
      <c r="K25" s="1180">
        <v>13887.392874941715</v>
      </c>
      <c r="L25" s="1181">
        <v>39253.219579458731</v>
      </c>
      <c r="M25" s="1182">
        <v>8989.2010213482245</v>
      </c>
      <c r="N25" s="1093"/>
      <c r="O25" s="314"/>
    </row>
    <row r="26" spans="1:15" s="321" customFormat="1">
      <c r="A26" s="770"/>
      <c r="B26" s="771" t="s">
        <v>242</v>
      </c>
      <c r="C26" s="1177">
        <v>135.90690119702001</v>
      </c>
      <c r="D26" s="664">
        <v>4327.50315745848</v>
      </c>
      <c r="E26" s="742">
        <v>1808.49274727122</v>
      </c>
      <c r="F26" s="742">
        <v>11804.930969689533</v>
      </c>
      <c r="G26" s="645">
        <v>925.35881948390079</v>
      </c>
      <c r="H26" s="1178">
        <v>5538.6275134443949</v>
      </c>
      <c r="I26" s="1179">
        <v>1111.5111251601061</v>
      </c>
      <c r="J26" s="742">
        <v>25652.321233704653</v>
      </c>
      <c r="K26" s="1180">
        <v>14608.358006707931</v>
      </c>
      <c r="L26" s="1181">
        <v>40260.679240412581</v>
      </c>
      <c r="M26" s="1182">
        <v>8085.7206714014173</v>
      </c>
      <c r="N26" s="1093"/>
      <c r="O26" s="314"/>
    </row>
    <row r="27" spans="1:15" s="321" customFormat="1" ht="21" customHeight="1">
      <c r="A27" s="770">
        <v>2024</v>
      </c>
      <c r="B27" s="771" t="s">
        <v>243</v>
      </c>
      <c r="C27" s="1177">
        <f t="shared" ref="C27:M27" si="2">C34</f>
        <v>188.62148606014091</v>
      </c>
      <c r="D27" s="664">
        <f t="shared" si="2"/>
        <v>4216.0666242200004</v>
      </c>
      <c r="E27" s="742">
        <f t="shared" si="2"/>
        <v>1572.28792794534</v>
      </c>
      <c r="F27" s="742">
        <f t="shared" si="2"/>
        <v>12103.286298997315</v>
      </c>
      <c r="G27" s="645">
        <f t="shared" si="2"/>
        <v>1007.7292425584786</v>
      </c>
      <c r="H27" s="1178">
        <f t="shared" si="2"/>
        <v>5882.5006303893133</v>
      </c>
      <c r="I27" s="1179">
        <f t="shared" si="2"/>
        <v>1107.7221140588429</v>
      </c>
      <c r="J27" s="742">
        <f t="shared" si="2"/>
        <v>26078.21432422943</v>
      </c>
      <c r="K27" s="1180">
        <f t="shared" si="2"/>
        <v>14624.364205364966</v>
      </c>
      <c r="L27" s="1181">
        <f t="shared" si="2"/>
        <v>40702.578529594393</v>
      </c>
      <c r="M27" s="1182">
        <f t="shared" si="2"/>
        <v>8065.8695627214511</v>
      </c>
      <c r="N27" s="1093"/>
      <c r="O27" s="314"/>
    </row>
    <row r="28" spans="1:15" s="321" customFormat="1" ht="15" customHeight="1">
      <c r="A28" s="770"/>
      <c r="B28" s="771" t="s">
        <v>244</v>
      </c>
      <c r="C28" s="1177">
        <f t="shared" ref="C28:M28" si="3">C37</f>
        <v>156.66274595305768</v>
      </c>
      <c r="D28" s="664">
        <f t="shared" si="3"/>
        <v>4824.4216580980001</v>
      </c>
      <c r="E28" s="742">
        <f t="shared" si="3"/>
        <v>1550.7378678379764</v>
      </c>
      <c r="F28" s="742">
        <f t="shared" si="3"/>
        <v>12242.259972509069</v>
      </c>
      <c r="G28" s="645">
        <f t="shared" si="3"/>
        <v>1012.4998555616075</v>
      </c>
      <c r="H28" s="1178">
        <f t="shared" si="3"/>
        <v>5577.9912585579705</v>
      </c>
      <c r="I28" s="1179">
        <f t="shared" si="3"/>
        <v>1178.2693698076257</v>
      </c>
      <c r="J28" s="742">
        <f t="shared" si="3"/>
        <v>26542.862728325312</v>
      </c>
      <c r="K28" s="1180">
        <f t="shared" si="3"/>
        <v>14655.041104269798</v>
      </c>
      <c r="L28" s="1181">
        <f t="shared" si="3"/>
        <v>41197.8838325951</v>
      </c>
      <c r="M28" s="1182">
        <f t="shared" si="3"/>
        <v>7953.1182030894342</v>
      </c>
      <c r="N28" s="1093"/>
      <c r="O28" s="314"/>
    </row>
    <row r="29" spans="1:15" s="321" customFormat="1" ht="15" customHeight="1">
      <c r="A29" s="770"/>
      <c r="B29" s="771" t="s">
        <v>245</v>
      </c>
      <c r="C29" s="1177">
        <f t="shared" ref="C29:M29" si="4">C40</f>
        <v>128.34604386187928</v>
      </c>
      <c r="D29" s="664">
        <f t="shared" si="4"/>
        <v>5274.5170140540004</v>
      </c>
      <c r="E29" s="742">
        <f t="shared" si="4"/>
        <v>1682.9628569176846</v>
      </c>
      <c r="F29" s="742">
        <f t="shared" si="4"/>
        <v>12132.166024345523</v>
      </c>
      <c r="G29" s="645">
        <f t="shared" si="4"/>
        <v>1059.0662853022038</v>
      </c>
      <c r="H29" s="1178">
        <f t="shared" si="4"/>
        <v>5723.7379522009369</v>
      </c>
      <c r="I29" s="1179">
        <f t="shared" si="4"/>
        <v>1254.5728944914358</v>
      </c>
      <c r="J29" s="742">
        <f t="shared" si="4"/>
        <v>27255.389071173668</v>
      </c>
      <c r="K29" s="1180">
        <f t="shared" si="4"/>
        <v>14276.599021203841</v>
      </c>
      <c r="L29" s="1181">
        <f t="shared" si="4"/>
        <v>41531.988092377513</v>
      </c>
      <c r="M29" s="1182">
        <f t="shared" si="4"/>
        <v>8283.7555795199969</v>
      </c>
      <c r="N29" s="1093"/>
      <c r="O29" s="314"/>
    </row>
    <row r="30" spans="1:15" s="321" customFormat="1" ht="15" customHeight="1">
      <c r="A30" s="930"/>
      <c r="B30" s="1025" t="s">
        <v>242</v>
      </c>
      <c r="C30" s="1087">
        <f t="shared" ref="C30:M30" si="5">C43</f>
        <v>136.80272008418029</v>
      </c>
      <c r="D30" s="1030">
        <f t="shared" si="5"/>
        <v>4630.361426748038</v>
      </c>
      <c r="E30" s="1034">
        <f t="shared" si="5"/>
        <v>2014.6235242127937</v>
      </c>
      <c r="F30" s="1034">
        <f t="shared" si="5"/>
        <v>11897.037488911043</v>
      </c>
      <c r="G30" s="1054">
        <f t="shared" si="5"/>
        <v>1160.0747486541443</v>
      </c>
      <c r="H30" s="1088">
        <f t="shared" si="5"/>
        <v>5774.3295687969949</v>
      </c>
      <c r="I30" s="1089">
        <f t="shared" si="5"/>
        <v>1249.8445850251187</v>
      </c>
      <c r="J30" s="1034">
        <f t="shared" si="5"/>
        <v>26863.024062432312</v>
      </c>
      <c r="K30" s="1090">
        <f t="shared" si="5"/>
        <v>14846.494816834533</v>
      </c>
      <c r="L30" s="1091">
        <f t="shared" si="5"/>
        <v>41709.518879266841</v>
      </c>
      <c r="M30" s="1092">
        <f t="shared" si="5"/>
        <v>7311.1839031034806</v>
      </c>
      <c r="N30" s="1093"/>
      <c r="O30" s="314"/>
    </row>
    <row r="31" spans="1:15" s="306" customFormat="1" ht="21" customHeight="1">
      <c r="A31" s="405">
        <v>2023</v>
      </c>
      <c r="B31" s="406" t="s">
        <v>426</v>
      </c>
      <c r="C31" s="700">
        <v>135.90690119702001</v>
      </c>
      <c r="D31" s="825">
        <v>4327.50315745848</v>
      </c>
      <c r="E31" s="703">
        <v>1808.49274727122</v>
      </c>
      <c r="F31" s="703">
        <v>11804.930969689533</v>
      </c>
      <c r="G31" s="701">
        <v>925.35881948390079</v>
      </c>
      <c r="H31" s="701">
        <v>5538.6275134443949</v>
      </c>
      <c r="I31" s="702">
        <v>1111.5111251601061</v>
      </c>
      <c r="J31" s="703">
        <v>25652.321233704653</v>
      </c>
      <c r="K31" s="703">
        <v>14608.358006707931</v>
      </c>
      <c r="L31" s="704">
        <v>40260.679240412581</v>
      </c>
      <c r="M31" s="1954">
        <v>8085.7206714014173</v>
      </c>
      <c r="N31" s="806"/>
      <c r="O31" s="314"/>
    </row>
    <row r="32" spans="1:15" s="306" customFormat="1" ht="21" customHeight="1">
      <c r="A32" s="405">
        <v>2024</v>
      </c>
      <c r="B32" s="406" t="s">
        <v>427</v>
      </c>
      <c r="C32" s="700">
        <v>128.80455090506666</v>
      </c>
      <c r="D32" s="825">
        <v>4442.545701256</v>
      </c>
      <c r="E32" s="703">
        <v>1741.1782565902215</v>
      </c>
      <c r="F32" s="703">
        <v>11867.287324336074</v>
      </c>
      <c r="G32" s="701">
        <v>940.30229804998191</v>
      </c>
      <c r="H32" s="701">
        <v>5582.4636165860757</v>
      </c>
      <c r="I32" s="702">
        <v>1024.6278062482131</v>
      </c>
      <c r="J32" s="703">
        <v>25727.209553971636</v>
      </c>
      <c r="K32" s="703">
        <v>14990.481845895258</v>
      </c>
      <c r="L32" s="704">
        <v>40717.691399866904</v>
      </c>
      <c r="M32" s="1954">
        <v>8055.418351831333</v>
      </c>
      <c r="N32" s="806"/>
      <c r="O32" s="314"/>
    </row>
    <row r="33" spans="1:15" s="306" customFormat="1" ht="16.5" customHeight="1">
      <c r="A33" s="405"/>
      <c r="B33" s="406" t="s">
        <v>416</v>
      </c>
      <c r="C33" s="700">
        <v>170.22793846236209</v>
      </c>
      <c r="D33" s="825">
        <v>4289.5682965820006</v>
      </c>
      <c r="E33" s="703">
        <v>1684.2438226895374</v>
      </c>
      <c r="F33" s="703">
        <v>11937.753675876385</v>
      </c>
      <c r="G33" s="701">
        <v>1028.8063811746001</v>
      </c>
      <c r="H33" s="701">
        <v>5617.1179425858609</v>
      </c>
      <c r="I33" s="702">
        <v>1070.7141158816244</v>
      </c>
      <c r="J33" s="703">
        <v>25798.432173252375</v>
      </c>
      <c r="K33" s="703">
        <v>14844.026365628866</v>
      </c>
      <c r="L33" s="704">
        <v>40642.448538881239</v>
      </c>
      <c r="M33" s="1954">
        <v>7987.7234054301907</v>
      </c>
      <c r="N33" s="806"/>
      <c r="O33" s="314"/>
    </row>
    <row r="34" spans="1:15" s="306" customFormat="1" ht="16.5" customHeight="1">
      <c r="A34" s="405"/>
      <c r="B34" s="406" t="s">
        <v>417</v>
      </c>
      <c r="C34" s="700">
        <v>188.62148606014091</v>
      </c>
      <c r="D34" s="825">
        <v>4216.0666242200004</v>
      </c>
      <c r="E34" s="703">
        <v>1572.28792794534</v>
      </c>
      <c r="F34" s="703">
        <v>12103.286298997315</v>
      </c>
      <c r="G34" s="701">
        <v>1007.7292425584786</v>
      </c>
      <c r="H34" s="701">
        <v>5882.5006303893133</v>
      </c>
      <c r="I34" s="702">
        <v>1107.7221140588429</v>
      </c>
      <c r="J34" s="703">
        <v>26078.21432422943</v>
      </c>
      <c r="K34" s="703">
        <v>14624.364205364966</v>
      </c>
      <c r="L34" s="704">
        <v>40702.578529594393</v>
      </c>
      <c r="M34" s="1954">
        <v>8065.8695627214511</v>
      </c>
      <c r="N34" s="806"/>
      <c r="O34" s="314"/>
    </row>
    <row r="35" spans="1:15" s="306" customFormat="1" ht="16.5" customHeight="1">
      <c r="A35" s="405"/>
      <c r="B35" s="406" t="s">
        <v>418</v>
      </c>
      <c r="C35" s="700">
        <v>205.59128444551789</v>
      </c>
      <c r="D35" s="825">
        <v>4214.1714835679995</v>
      </c>
      <c r="E35" s="703">
        <v>1568.9738164867158</v>
      </c>
      <c r="F35" s="703">
        <v>12134.091767795877</v>
      </c>
      <c r="G35" s="701">
        <v>1002.6431412013285</v>
      </c>
      <c r="H35" s="701">
        <v>5870.5762662787474</v>
      </c>
      <c r="I35" s="702">
        <v>1101.9053949995421</v>
      </c>
      <c r="J35" s="703">
        <v>26097.953154775732</v>
      </c>
      <c r="K35" s="703">
        <v>14761.010268436501</v>
      </c>
      <c r="L35" s="704">
        <v>40858.963423212233</v>
      </c>
      <c r="M35" s="1954">
        <v>8073.8098683374274</v>
      </c>
      <c r="N35" s="806"/>
      <c r="O35" s="314"/>
    </row>
    <row r="36" spans="1:15" s="306" customFormat="1" ht="16.5" customHeight="1">
      <c r="A36" s="405"/>
      <c r="B36" s="406" t="s">
        <v>419</v>
      </c>
      <c r="C36" s="700">
        <v>174.53910870569891</v>
      </c>
      <c r="D36" s="825">
        <v>4330.3424088689999</v>
      </c>
      <c r="E36" s="703">
        <v>1833.0900714284451</v>
      </c>
      <c r="F36" s="703">
        <v>12205.626062247449</v>
      </c>
      <c r="G36" s="701">
        <v>1015.3782759255215</v>
      </c>
      <c r="H36" s="701">
        <v>5547.6573279904951</v>
      </c>
      <c r="I36" s="702">
        <v>1078.5551033886202</v>
      </c>
      <c r="J36" s="703">
        <v>26185.188358555235</v>
      </c>
      <c r="K36" s="703">
        <v>15049.778375211254</v>
      </c>
      <c r="L36" s="704">
        <v>41234.966733766494</v>
      </c>
      <c r="M36" s="1954">
        <v>7688.4552391653106</v>
      </c>
      <c r="N36" s="806"/>
      <c r="O36" s="314"/>
    </row>
    <row r="37" spans="1:15" s="306" customFormat="1" ht="16.5" customHeight="1">
      <c r="A37" s="405"/>
      <c r="B37" s="406" t="s">
        <v>420</v>
      </c>
      <c r="C37" s="700">
        <v>156.66274595305768</v>
      </c>
      <c r="D37" s="825">
        <v>4824.4216580980001</v>
      </c>
      <c r="E37" s="703">
        <v>1550.7378678379764</v>
      </c>
      <c r="F37" s="703">
        <v>12242.259972509069</v>
      </c>
      <c r="G37" s="701">
        <v>1012.4998555616075</v>
      </c>
      <c r="H37" s="701">
        <v>5577.9912585579705</v>
      </c>
      <c r="I37" s="702">
        <v>1178.2693698076257</v>
      </c>
      <c r="J37" s="703">
        <v>26542.862728325312</v>
      </c>
      <c r="K37" s="703">
        <v>14655.041104269798</v>
      </c>
      <c r="L37" s="704">
        <v>41197.8838325951</v>
      </c>
      <c r="M37" s="1954">
        <v>7953.1182030894342</v>
      </c>
      <c r="N37" s="806"/>
      <c r="O37" s="314"/>
    </row>
    <row r="38" spans="1:15" s="306" customFormat="1" ht="16.5" customHeight="1">
      <c r="A38" s="405"/>
      <c r="B38" s="406" t="s">
        <v>421</v>
      </c>
      <c r="C38" s="700">
        <v>148.75199516126648</v>
      </c>
      <c r="D38" s="825">
        <v>4861.8073810380001</v>
      </c>
      <c r="E38" s="703">
        <v>1283.8023980192725</v>
      </c>
      <c r="F38" s="703">
        <v>12128.678062712677</v>
      </c>
      <c r="G38" s="701">
        <v>1061.2423797901347</v>
      </c>
      <c r="H38" s="701">
        <v>5752.2460115836566</v>
      </c>
      <c r="I38" s="702">
        <v>1195.2635022674256</v>
      </c>
      <c r="J38" s="703">
        <v>26431.791730572437</v>
      </c>
      <c r="K38" s="703">
        <v>14635.102532279274</v>
      </c>
      <c r="L38" s="704">
        <v>41066.894262851711</v>
      </c>
      <c r="M38" s="1954">
        <v>7697.5571628466114</v>
      </c>
      <c r="N38" s="806"/>
      <c r="O38" s="314"/>
    </row>
    <row r="39" spans="1:15" s="306" customFormat="1" ht="16.5" customHeight="1">
      <c r="A39" s="405"/>
      <c r="B39" s="406" t="s">
        <v>422</v>
      </c>
      <c r="C39" s="700">
        <v>124.94087346554389</v>
      </c>
      <c r="D39" s="825">
        <v>5133.384290342</v>
      </c>
      <c r="E39" s="703">
        <v>1358.4266583537385</v>
      </c>
      <c r="F39" s="703">
        <v>12097.570964404809</v>
      </c>
      <c r="G39" s="701">
        <v>1084.9153564083254</v>
      </c>
      <c r="H39" s="701">
        <v>5706.00474304626</v>
      </c>
      <c r="I39" s="702">
        <v>1204.4288518795711</v>
      </c>
      <c r="J39" s="703">
        <v>26709.631737900247</v>
      </c>
      <c r="K39" s="703">
        <v>14900.758268898559</v>
      </c>
      <c r="L39" s="704">
        <v>41610.440006798803</v>
      </c>
      <c r="M39" s="1954">
        <v>7515.4662518200021</v>
      </c>
      <c r="N39" s="806"/>
      <c r="O39" s="314"/>
    </row>
    <row r="40" spans="1:15" s="306" customFormat="1" ht="16.5" customHeight="1">
      <c r="A40" s="405"/>
      <c r="B40" s="406" t="s">
        <v>423</v>
      </c>
      <c r="C40" s="700">
        <v>128.34604386187928</v>
      </c>
      <c r="D40" s="825">
        <v>5274.5170140540004</v>
      </c>
      <c r="E40" s="703">
        <v>1682.9628569176846</v>
      </c>
      <c r="F40" s="703">
        <v>12132.166024345523</v>
      </c>
      <c r="G40" s="701">
        <v>1059.0662853022038</v>
      </c>
      <c r="H40" s="701">
        <v>5723.7379522009369</v>
      </c>
      <c r="I40" s="702">
        <v>1254.5728944914358</v>
      </c>
      <c r="J40" s="703">
        <v>27255.389071173668</v>
      </c>
      <c r="K40" s="703">
        <v>14276.599021203841</v>
      </c>
      <c r="L40" s="704">
        <v>41531.988092377513</v>
      </c>
      <c r="M40" s="1954">
        <v>8283.7555795199969</v>
      </c>
      <c r="N40" s="806"/>
      <c r="O40" s="314"/>
    </row>
    <row r="41" spans="1:15" s="306" customFormat="1" ht="16.5" customHeight="1">
      <c r="A41" s="405"/>
      <c r="B41" s="406" t="s">
        <v>424</v>
      </c>
      <c r="C41" s="700">
        <v>128.57536755232715</v>
      </c>
      <c r="D41" s="825">
        <v>5118.9251608029999</v>
      </c>
      <c r="E41" s="703">
        <v>1694.7283248768936</v>
      </c>
      <c r="F41" s="703">
        <v>12049.279829445828</v>
      </c>
      <c r="G41" s="701">
        <v>1037.0877973409451</v>
      </c>
      <c r="H41" s="701">
        <v>5722.6111585226663</v>
      </c>
      <c r="I41" s="702">
        <v>1242.6199584483734</v>
      </c>
      <c r="J41" s="703">
        <v>26993.827596990039</v>
      </c>
      <c r="K41" s="703">
        <v>14048.855322344096</v>
      </c>
      <c r="L41" s="704">
        <v>41042.672919334131</v>
      </c>
      <c r="M41" s="1954">
        <v>8095.3955606328327</v>
      </c>
      <c r="N41" s="806"/>
      <c r="O41" s="314"/>
    </row>
    <row r="42" spans="1:15" s="306" customFormat="1" ht="16.5" customHeight="1">
      <c r="A42" s="405"/>
      <c r="B42" s="406" t="s">
        <v>425</v>
      </c>
      <c r="C42" s="700">
        <v>138.1821236248075</v>
      </c>
      <c r="D42" s="825">
        <v>5075.0111861819996</v>
      </c>
      <c r="E42" s="703">
        <v>1921.3072089691327</v>
      </c>
      <c r="F42" s="703">
        <v>11912.477589658898</v>
      </c>
      <c r="G42" s="701">
        <v>1053.1342132556979</v>
      </c>
      <c r="H42" s="701">
        <v>5612.5511535778669</v>
      </c>
      <c r="I42" s="702">
        <v>1236.2293628425814</v>
      </c>
      <c r="J42" s="703">
        <v>26948.862838110988</v>
      </c>
      <c r="K42" s="703">
        <v>14571.573538491237</v>
      </c>
      <c r="L42" s="704">
        <v>41520.456376602226</v>
      </c>
      <c r="M42" s="1954">
        <v>8227.106497458024</v>
      </c>
      <c r="N42" s="806"/>
      <c r="O42" s="314"/>
    </row>
    <row r="43" spans="1:15" s="306" customFormat="1" ht="16.5" customHeight="1">
      <c r="A43" s="405"/>
      <c r="B43" s="406" t="s">
        <v>426</v>
      </c>
      <c r="C43" s="700">
        <v>136.80272008418029</v>
      </c>
      <c r="D43" s="825">
        <v>4630.361426748038</v>
      </c>
      <c r="E43" s="703">
        <v>2014.6235242127937</v>
      </c>
      <c r="F43" s="703">
        <v>11897.037488911043</v>
      </c>
      <c r="G43" s="701">
        <v>1160.0747486541443</v>
      </c>
      <c r="H43" s="701">
        <v>5774.3295687969949</v>
      </c>
      <c r="I43" s="702">
        <v>1249.8445850251187</v>
      </c>
      <c r="J43" s="703">
        <v>26863.024062432312</v>
      </c>
      <c r="K43" s="703">
        <v>14846.494816834533</v>
      </c>
      <c r="L43" s="704">
        <v>41709.518879266841</v>
      </c>
      <c r="M43" s="1954">
        <v>7311.1839031034806</v>
      </c>
      <c r="N43" s="806"/>
      <c r="O43" s="314"/>
    </row>
    <row r="44" spans="1:15" ht="20.25" customHeight="1">
      <c r="A44" s="215" t="s">
        <v>790</v>
      </c>
      <c r="B44" s="216"/>
      <c r="C44" s="602"/>
      <c r="D44" s="216"/>
      <c r="E44" s="216"/>
      <c r="F44" s="216"/>
      <c r="G44" s="216"/>
      <c r="H44" s="216"/>
      <c r="I44" s="216"/>
      <c r="J44" s="216"/>
      <c r="K44" s="216"/>
      <c r="L44" s="216"/>
      <c r="M44" s="236" t="s">
        <v>791</v>
      </c>
    </row>
    <row r="45" spans="1:15" ht="12.75" customHeight="1">
      <c r="A45" s="5" t="s">
        <v>792</v>
      </c>
      <c r="B45" s="15"/>
      <c r="C45" s="15"/>
      <c r="D45" s="15"/>
      <c r="E45" s="15"/>
      <c r="F45" s="15"/>
      <c r="G45" s="147"/>
      <c r="I45" s="25"/>
      <c r="K45" s="15"/>
      <c r="L45" s="15"/>
      <c r="M45" s="237" t="s">
        <v>793</v>
      </c>
    </row>
    <row r="46" spans="1:15" ht="15.75">
      <c r="B46" s="250"/>
      <c r="C46" s="595"/>
      <c r="D46" s="596"/>
      <c r="E46" s="596"/>
      <c r="F46" s="596"/>
      <c r="G46" s="596"/>
      <c r="H46" s="596"/>
      <c r="I46" s="596"/>
      <c r="J46" s="597"/>
      <c r="K46" s="598"/>
      <c r="L46" s="596"/>
      <c r="M46" s="596"/>
    </row>
    <row r="47" spans="1:15">
      <c r="A47" s="318" t="s">
        <v>794</v>
      </c>
      <c r="B47" s="10"/>
      <c r="C47" s="11"/>
      <c r="D47" s="11"/>
      <c r="E47" s="11"/>
      <c r="F47" s="11"/>
      <c r="G47" s="11"/>
      <c r="H47" s="11"/>
      <c r="I47" s="11"/>
      <c r="J47" s="11"/>
      <c r="K47" s="11"/>
      <c r="L47" s="3"/>
      <c r="M47" s="3"/>
    </row>
    <row r="48" spans="1:15">
      <c r="A48" s="13"/>
      <c r="B48" s="19"/>
      <c r="L48" s="601"/>
      <c r="M48" s="25"/>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0" activePane="bottomLeft" state="frozen"/>
      <selection activeCell="B12" sqref="B12"/>
      <selection pane="bottomLeft" activeCell="J40" sqref="J40"/>
    </sheetView>
  </sheetViews>
  <sheetFormatPr defaultRowHeight="12.75"/>
  <cols>
    <col min="1" max="2" width="9.28515625" style="25" customWidth="1"/>
    <col min="3" max="3" width="16.85546875" style="25" customWidth="1"/>
    <col min="4" max="4" width="14.7109375" style="25" customWidth="1"/>
    <col min="5" max="5" width="15.85546875" style="25" customWidth="1"/>
    <col min="6" max="6" width="17.7109375" style="25" customWidth="1"/>
    <col min="7" max="8" width="15.28515625" style="25" customWidth="1"/>
    <col min="9" max="11" width="15.85546875" style="25" customWidth="1"/>
    <col min="12" max="12" width="17.7109375" style="25" customWidth="1"/>
    <col min="13" max="13" width="9.7109375" style="601" customWidth="1"/>
    <col min="14" max="14" width="9.7109375" style="25" customWidth="1"/>
    <col min="15" max="16384" width="9.140625" style="25"/>
  </cols>
  <sheetData>
    <row r="1" spans="1:14" ht="18" customHeight="1">
      <c r="A1" s="16" t="s">
        <v>1777</v>
      </c>
      <c r="B1" s="1"/>
      <c r="C1" s="1"/>
      <c r="D1" s="1"/>
      <c r="E1" s="1"/>
      <c r="F1" s="1"/>
      <c r="G1" s="1"/>
      <c r="H1" s="1"/>
      <c r="I1" s="1"/>
      <c r="J1" s="1"/>
      <c r="K1" s="1"/>
      <c r="L1" s="1"/>
    </row>
    <row r="2" spans="1:14" ht="18" customHeight="1">
      <c r="A2" s="898" t="s">
        <v>770</v>
      </c>
      <c r="B2" s="1"/>
      <c r="C2" s="1"/>
      <c r="D2" s="1"/>
      <c r="E2" s="1"/>
      <c r="F2" s="1"/>
      <c r="G2" s="1"/>
      <c r="H2" s="1"/>
      <c r="I2" s="1"/>
      <c r="J2" s="1"/>
      <c r="K2" s="1"/>
      <c r="L2" s="1"/>
    </row>
    <row r="3" spans="1:14" ht="18" customHeight="1">
      <c r="A3" s="16" t="s">
        <v>771</v>
      </c>
      <c r="B3" s="1"/>
      <c r="C3" s="1"/>
      <c r="D3" s="1"/>
      <c r="E3" s="1"/>
      <c r="F3" s="1"/>
      <c r="G3" s="1"/>
      <c r="H3" s="1"/>
      <c r="I3" s="1"/>
      <c r="J3" s="1"/>
      <c r="K3" s="1"/>
      <c r="L3" s="1"/>
    </row>
    <row r="4" spans="1:14" ht="18.600000000000001" customHeight="1">
      <c r="A4" s="898" t="s">
        <v>378</v>
      </c>
      <c r="B4" s="7"/>
      <c r="C4" s="7"/>
      <c r="D4" s="7"/>
      <c r="E4" s="7"/>
      <c r="F4" s="7"/>
      <c r="G4" s="7"/>
      <c r="H4" s="7"/>
      <c r="I4" s="7"/>
      <c r="J4" s="7"/>
      <c r="K4" s="7"/>
      <c r="L4" s="7"/>
    </row>
    <row r="5" spans="1:14" ht="18.600000000000001" customHeight="1">
      <c r="A5" s="16" t="s">
        <v>377</v>
      </c>
      <c r="B5" s="1"/>
      <c r="C5" s="1"/>
      <c r="D5" s="1"/>
      <c r="E5" s="1"/>
      <c r="F5" s="1"/>
      <c r="G5" s="1"/>
      <c r="H5" s="1"/>
      <c r="I5" s="1"/>
      <c r="J5" s="1"/>
      <c r="K5" s="1"/>
      <c r="L5" s="1"/>
    </row>
    <row r="6" spans="1:14" ht="0.6" customHeight="1">
      <c r="A6" s="16"/>
      <c r="B6" s="1"/>
      <c r="C6" s="1"/>
      <c r="D6" s="1" t="s">
        <v>772</v>
      </c>
      <c r="E6" s="1"/>
      <c r="F6" s="1"/>
      <c r="G6" s="1"/>
      <c r="H6" s="1"/>
      <c r="I6" s="1"/>
      <c r="J6" s="1"/>
      <c r="K6" s="1"/>
      <c r="L6" s="1" t="s">
        <v>772</v>
      </c>
    </row>
    <row r="7" spans="1:14" ht="12.75" customHeight="1">
      <c r="A7" s="8" t="s">
        <v>373</v>
      </c>
      <c r="B7" s="1"/>
      <c r="C7" s="2"/>
      <c r="D7" s="2"/>
      <c r="E7" s="2"/>
      <c r="F7" s="2"/>
      <c r="G7" s="2"/>
      <c r="H7" s="2"/>
      <c r="I7" s="2"/>
      <c r="J7" s="232"/>
      <c r="K7" s="20"/>
      <c r="L7" s="36" t="s">
        <v>374</v>
      </c>
    </row>
    <row r="8" spans="1:14" s="41" customFormat="1" ht="18.600000000000001" customHeight="1">
      <c r="A8" s="44"/>
      <c r="B8" s="45"/>
      <c r="C8" s="302" t="s">
        <v>795</v>
      </c>
      <c r="D8" s="40"/>
      <c r="E8" s="123"/>
      <c r="F8" s="123"/>
      <c r="G8" s="122"/>
      <c r="H8" s="123"/>
      <c r="I8" s="301" t="s">
        <v>796</v>
      </c>
      <c r="J8" s="25"/>
      <c r="K8" s="1932"/>
      <c r="L8" s="73" t="s">
        <v>797</v>
      </c>
      <c r="M8" s="143"/>
    </row>
    <row r="9" spans="1:14" s="41" customFormat="1" ht="1.5" customHeight="1">
      <c r="A9" s="42"/>
      <c r="C9" s="184"/>
      <c r="D9" s="100"/>
      <c r="E9" s="184"/>
      <c r="G9" s="101"/>
      <c r="H9" s="185"/>
      <c r="I9" s="101"/>
      <c r="J9" s="1933"/>
      <c r="K9" s="1934"/>
      <c r="L9" s="1935"/>
      <c r="M9" s="143"/>
    </row>
    <row r="10" spans="1:14" s="39" customFormat="1" ht="17.45" customHeight="1">
      <c r="A10" s="24" t="s">
        <v>383</v>
      </c>
      <c r="B10" s="74"/>
      <c r="C10" s="95" t="s">
        <v>498</v>
      </c>
      <c r="D10" s="79"/>
      <c r="E10" s="79" t="s">
        <v>504</v>
      </c>
      <c r="F10" s="25"/>
      <c r="G10" s="76"/>
      <c r="H10" s="78" t="s">
        <v>390</v>
      </c>
      <c r="I10" s="186"/>
      <c r="J10" s="105" t="s">
        <v>378</v>
      </c>
      <c r="K10" s="183" t="s">
        <v>798</v>
      </c>
      <c r="L10" s="73" t="s">
        <v>774</v>
      </c>
      <c r="M10" s="144"/>
    </row>
    <row r="11" spans="1:14" s="39" customFormat="1" ht="18" customHeight="1">
      <c r="A11" s="118" t="s">
        <v>391</v>
      </c>
      <c r="B11" s="60"/>
      <c r="C11" s="95" t="s">
        <v>502</v>
      </c>
      <c r="D11" s="79" t="s">
        <v>436</v>
      </c>
      <c r="E11" s="271" t="s">
        <v>799</v>
      </c>
      <c r="F11" s="78" t="s">
        <v>395</v>
      </c>
      <c r="G11" s="95" t="s">
        <v>760</v>
      </c>
      <c r="H11" s="95" t="s">
        <v>800</v>
      </c>
      <c r="I11" s="188" t="s">
        <v>386</v>
      </c>
      <c r="J11" s="187" t="s">
        <v>379</v>
      </c>
      <c r="K11" s="183" t="s">
        <v>378</v>
      </c>
      <c r="L11" s="51" t="s">
        <v>777</v>
      </c>
      <c r="M11" s="144"/>
    </row>
    <row r="12" spans="1:14" s="39" customFormat="1" ht="31.7" customHeight="1">
      <c r="A12" s="32"/>
      <c r="B12" s="66"/>
      <c r="C12" s="68" t="s">
        <v>370</v>
      </c>
      <c r="D12" s="209" t="s">
        <v>410</v>
      </c>
      <c r="E12" s="295" t="s">
        <v>801</v>
      </c>
      <c r="F12" s="229" t="s">
        <v>802</v>
      </c>
      <c r="G12" s="230" t="s">
        <v>404</v>
      </c>
      <c r="H12" s="231" t="s">
        <v>803</v>
      </c>
      <c r="I12" s="120" t="s">
        <v>397</v>
      </c>
      <c r="J12" s="68" t="s">
        <v>804</v>
      </c>
      <c r="K12" s="189" t="s">
        <v>805</v>
      </c>
      <c r="L12" s="190" t="s">
        <v>806</v>
      </c>
      <c r="M12" s="144"/>
    </row>
    <row r="13" spans="1:14" s="306" customFormat="1" ht="20.25" customHeight="1">
      <c r="A13" s="405">
        <v>2015</v>
      </c>
      <c r="B13" s="516"/>
      <c r="C13" s="1936">
        <v>272.49399999999997</v>
      </c>
      <c r="D13" s="807">
        <v>1111.123684988054</v>
      </c>
      <c r="E13" s="701">
        <v>9563.2868831139676</v>
      </c>
      <c r="F13" s="808">
        <v>2090.722456415363</v>
      </c>
      <c r="G13" s="1937">
        <v>526.46519075277604</v>
      </c>
      <c r="H13" s="1938">
        <v>2588.0031765462918</v>
      </c>
      <c r="I13" s="811">
        <v>16152.145391816452</v>
      </c>
      <c r="J13" s="701">
        <v>14750.222166700132</v>
      </c>
      <c r="K13" s="812">
        <v>30902.317558516585</v>
      </c>
      <c r="L13" s="813">
        <v>3544.8253978157354</v>
      </c>
      <c r="M13" s="315"/>
      <c r="N13" s="993"/>
    </row>
    <row r="14" spans="1:14" s="408" customFormat="1" ht="14.85" customHeight="1">
      <c r="A14" s="356">
        <v>2016</v>
      </c>
      <c r="B14" s="570"/>
      <c r="C14" s="1939">
        <v>244.19141922499998</v>
      </c>
      <c r="D14" s="1940">
        <v>1379.965264227757</v>
      </c>
      <c r="E14" s="1941">
        <v>9684.1768024505582</v>
      </c>
      <c r="F14" s="1942">
        <v>2122.3400329330002</v>
      </c>
      <c r="G14" s="1943">
        <v>508.03213834688023</v>
      </c>
      <c r="H14" s="1944">
        <v>2821.9793468185771</v>
      </c>
      <c r="I14" s="1945">
        <v>16760.705004001771</v>
      </c>
      <c r="J14" s="1941">
        <v>14452.803721047296</v>
      </c>
      <c r="K14" s="1946">
        <v>31213.508725049072</v>
      </c>
      <c r="L14" s="1947">
        <v>4032.8557085119255</v>
      </c>
      <c r="M14" s="315"/>
      <c r="N14" s="993"/>
    </row>
    <row r="15" spans="1:14" s="408" customFormat="1" ht="14.85" customHeight="1">
      <c r="A15" s="356">
        <v>2017</v>
      </c>
      <c r="B15" s="570"/>
      <c r="C15" s="1939">
        <v>149.29214221300001</v>
      </c>
      <c r="D15" s="1940">
        <v>1109.7975951103731</v>
      </c>
      <c r="E15" s="1941">
        <v>10118.4618776599</v>
      </c>
      <c r="F15" s="1942">
        <v>2220.4920646659998</v>
      </c>
      <c r="G15" s="1943">
        <v>565.70256908627994</v>
      </c>
      <c r="H15" s="1944">
        <v>2939.7397306716152</v>
      </c>
      <c r="I15" s="1945">
        <v>17103.486713407165</v>
      </c>
      <c r="J15" s="1941">
        <v>14285.454760065642</v>
      </c>
      <c r="K15" s="1946">
        <v>31388.961473472802</v>
      </c>
      <c r="L15" s="1947">
        <v>5369.0489066365972</v>
      </c>
      <c r="M15" s="315"/>
      <c r="N15" s="993"/>
    </row>
    <row r="16" spans="1:14" s="321" customFormat="1" ht="14.25" customHeight="1">
      <c r="A16" s="770">
        <v>2018</v>
      </c>
      <c r="B16" s="771"/>
      <c r="C16" s="1170">
        <v>51.853601465000096</v>
      </c>
      <c r="D16" s="860">
        <v>1462.1701916448399</v>
      </c>
      <c r="E16" s="645">
        <v>10346.975676318638</v>
      </c>
      <c r="F16" s="1171">
        <v>2204.7496815409345</v>
      </c>
      <c r="G16" s="1172">
        <v>707.40440267365625</v>
      </c>
      <c r="H16" s="1173">
        <v>3059.1801379685185</v>
      </c>
      <c r="I16" s="1174">
        <v>17832.364570611586</v>
      </c>
      <c r="J16" s="645">
        <v>14736.649777062137</v>
      </c>
      <c r="K16" s="1175">
        <v>32568.984347673726</v>
      </c>
      <c r="L16" s="1176">
        <v>6022.3416935919404</v>
      </c>
      <c r="M16" s="315"/>
      <c r="N16" s="993"/>
    </row>
    <row r="17" spans="1:14" s="321" customFormat="1" ht="14.25" customHeight="1">
      <c r="A17" s="770">
        <v>2019</v>
      </c>
      <c r="B17" s="771"/>
      <c r="C17" s="1170">
        <v>182.071201108</v>
      </c>
      <c r="D17" s="860">
        <v>1197.8814652559513</v>
      </c>
      <c r="E17" s="645">
        <v>11551.438842662628</v>
      </c>
      <c r="F17" s="1171">
        <v>2126.8431378315859</v>
      </c>
      <c r="G17" s="1172">
        <v>692.59966619936165</v>
      </c>
      <c r="H17" s="1173">
        <v>3216.7822479616516</v>
      </c>
      <c r="I17" s="1174">
        <v>18967.637575019176</v>
      </c>
      <c r="J17" s="645">
        <v>16402.184863421702</v>
      </c>
      <c r="K17" s="1175">
        <v>35369.842438440879</v>
      </c>
      <c r="L17" s="1176">
        <v>6812.3444822128668</v>
      </c>
      <c r="M17" s="315"/>
      <c r="N17" s="993"/>
    </row>
    <row r="18" spans="1:14" s="321" customFormat="1" ht="14.25" customHeight="1">
      <c r="A18" s="770">
        <v>2020</v>
      </c>
      <c r="B18" s="771"/>
      <c r="C18" s="1170">
        <v>134.175574187</v>
      </c>
      <c r="D18" s="860">
        <v>1135.211416258172</v>
      </c>
      <c r="E18" s="645">
        <v>12275.333957990801</v>
      </c>
      <c r="F18" s="1171">
        <v>1829.3342207516425</v>
      </c>
      <c r="G18" s="1172">
        <v>1021.5094401898797</v>
      </c>
      <c r="H18" s="1173">
        <v>3215.0755486111993</v>
      </c>
      <c r="I18" s="1174">
        <v>19610.638157988695</v>
      </c>
      <c r="J18" s="645">
        <v>15836.696357492354</v>
      </c>
      <c r="K18" s="1175">
        <v>35447.334515481045</v>
      </c>
      <c r="L18" s="1176">
        <v>7090.0697655426193</v>
      </c>
      <c r="M18" s="315"/>
      <c r="N18" s="993"/>
    </row>
    <row r="19" spans="1:14" s="321" customFormat="1" ht="14.25" customHeight="1">
      <c r="A19" s="770">
        <v>2021</v>
      </c>
      <c r="B19" s="771"/>
      <c r="C19" s="1170">
        <v>129.40531700859</v>
      </c>
      <c r="D19" s="860">
        <v>1542.6027911171959</v>
      </c>
      <c r="E19" s="645">
        <v>12938.064113027462</v>
      </c>
      <c r="F19" s="1171">
        <v>1704.4448306054587</v>
      </c>
      <c r="G19" s="1172">
        <v>738.12659085207338</v>
      </c>
      <c r="H19" s="1173">
        <v>3579.6198281146708</v>
      </c>
      <c r="I19" s="1174">
        <v>20632.222205315451</v>
      </c>
      <c r="J19" s="645">
        <v>16741.780054273448</v>
      </c>
      <c r="K19" s="1175">
        <v>37374.002259588902</v>
      </c>
      <c r="L19" s="1176">
        <v>7487.6836866876311</v>
      </c>
      <c r="M19" s="315"/>
      <c r="N19" s="993"/>
    </row>
    <row r="20" spans="1:14" s="321" customFormat="1" ht="14.25" customHeight="1">
      <c r="A20" s="770">
        <v>2022</v>
      </c>
      <c r="B20" s="771"/>
      <c r="C20" s="1170">
        <v>89.310544895000007</v>
      </c>
      <c r="D20" s="860">
        <v>1758.4412589326703</v>
      </c>
      <c r="E20" s="645">
        <v>13512.008702625642</v>
      </c>
      <c r="F20" s="1171">
        <v>1652.706004200224</v>
      </c>
      <c r="G20" s="1172">
        <v>835.72642044588952</v>
      </c>
      <c r="H20" s="1173">
        <v>3434.7555623694452</v>
      </c>
      <c r="I20" s="1174">
        <v>21282.948493468873</v>
      </c>
      <c r="J20" s="645">
        <v>16964.477748442736</v>
      </c>
      <c r="K20" s="1175">
        <v>38247.426241911613</v>
      </c>
      <c r="L20" s="1176">
        <v>9235.3750090615467</v>
      </c>
      <c r="M20" s="315"/>
      <c r="N20" s="993"/>
    </row>
    <row r="21" spans="1:14" s="321" customFormat="1" ht="14.25" customHeight="1">
      <c r="A21" s="770">
        <v>2023</v>
      </c>
      <c r="B21" s="771"/>
      <c r="C21" s="1170">
        <f t="shared" ref="C21:L21" si="0">C26</f>
        <v>138.14404708399999</v>
      </c>
      <c r="D21" s="860">
        <f t="shared" si="0"/>
        <v>1903.4678650070223</v>
      </c>
      <c r="E21" s="645">
        <f t="shared" si="0"/>
        <v>14192.476435533848</v>
      </c>
      <c r="F21" s="1171">
        <f t="shared" si="0"/>
        <v>1752.2838369488788</v>
      </c>
      <c r="G21" s="1172">
        <f t="shared" si="0"/>
        <v>1071.9268797930233</v>
      </c>
      <c r="H21" s="1173">
        <f t="shared" si="0"/>
        <v>3492.5553861172175</v>
      </c>
      <c r="I21" s="1174">
        <f t="shared" si="0"/>
        <v>22550.854450483985</v>
      </c>
      <c r="J21" s="645">
        <f t="shared" si="0"/>
        <v>17709.761864411757</v>
      </c>
      <c r="K21" s="1175">
        <f t="shared" si="0"/>
        <v>40260.67631489574</v>
      </c>
      <c r="L21" s="1176">
        <f t="shared" si="0"/>
        <v>8098.2481488338981</v>
      </c>
      <c r="M21" s="315"/>
      <c r="N21" s="993"/>
    </row>
    <row r="22" spans="1:14" s="321" customFormat="1" ht="14.25" customHeight="1">
      <c r="A22" s="930">
        <v>2024</v>
      </c>
      <c r="B22" s="1025"/>
      <c r="C22" s="1080">
        <f t="shared" ref="C22:L22" si="1">C30</f>
        <v>98.888157705999987</v>
      </c>
      <c r="D22" s="998">
        <f t="shared" si="1"/>
        <v>1702.5926545585321</v>
      </c>
      <c r="E22" s="1337">
        <f t="shared" si="1"/>
        <v>14249.887719419561</v>
      </c>
      <c r="F22" s="1081">
        <f t="shared" si="1"/>
        <v>1913.6801198752273</v>
      </c>
      <c r="G22" s="1082">
        <f t="shared" si="1"/>
        <v>869.67753145086726</v>
      </c>
      <c r="H22" s="1083">
        <f t="shared" si="1"/>
        <v>3804.5401068321003</v>
      </c>
      <c r="I22" s="1084">
        <f t="shared" si="1"/>
        <v>22639.276289842288</v>
      </c>
      <c r="J22" s="1054">
        <f t="shared" si="1"/>
        <v>19070.236476899641</v>
      </c>
      <c r="K22" s="1085">
        <f t="shared" si="1"/>
        <v>41709.512766741929</v>
      </c>
      <c r="L22" s="1086">
        <f t="shared" si="1"/>
        <v>7334.6113541364784</v>
      </c>
      <c r="M22" s="315"/>
      <c r="N22" s="993"/>
    </row>
    <row r="23" spans="1:14" s="321" customFormat="1" ht="21" customHeight="1">
      <c r="A23" s="770">
        <v>2023</v>
      </c>
      <c r="B23" s="771" t="s">
        <v>243</v>
      </c>
      <c r="C23" s="1170">
        <v>116.714932103</v>
      </c>
      <c r="D23" s="860">
        <v>1620.7187258076679</v>
      </c>
      <c r="E23" s="645">
        <v>14047.87892438949</v>
      </c>
      <c r="F23" s="1171">
        <v>1626.8660129727898</v>
      </c>
      <c r="G23" s="1172">
        <v>1052.9839752235455</v>
      </c>
      <c r="H23" s="1173">
        <v>3204.1320351780491</v>
      </c>
      <c r="I23" s="1174">
        <v>21669.294605674542</v>
      </c>
      <c r="J23" s="645">
        <v>15969.649948303813</v>
      </c>
      <c r="K23" s="1175">
        <v>37638.944553978356</v>
      </c>
      <c r="L23" s="1176">
        <v>9669.7360962111306</v>
      </c>
      <c r="M23" s="315"/>
      <c r="N23" s="993"/>
    </row>
    <row r="24" spans="1:14" s="321" customFormat="1" ht="15">
      <c r="A24" s="770"/>
      <c r="B24" s="771" t="s">
        <v>244</v>
      </c>
      <c r="C24" s="1170">
        <v>252.36800534759001</v>
      </c>
      <c r="D24" s="860">
        <v>1931.9423105641877</v>
      </c>
      <c r="E24" s="645">
        <v>13926.857621408006</v>
      </c>
      <c r="F24" s="1171">
        <v>1743.8489774577599</v>
      </c>
      <c r="G24" s="1172">
        <v>862.40022912876373</v>
      </c>
      <c r="H24" s="1173">
        <v>3360.2584449420597</v>
      </c>
      <c r="I24" s="1174">
        <v>22077.675588848368</v>
      </c>
      <c r="J24" s="645">
        <v>16161.842669763006</v>
      </c>
      <c r="K24" s="1175">
        <v>38239.518258611366</v>
      </c>
      <c r="L24" s="1176">
        <v>8313.5030883424097</v>
      </c>
      <c r="M24" s="315"/>
      <c r="N24" s="993"/>
    </row>
    <row r="25" spans="1:14" s="321" customFormat="1" ht="15">
      <c r="A25" s="770"/>
      <c r="B25" s="771" t="s">
        <v>245</v>
      </c>
      <c r="C25" s="1170">
        <v>114.91579062000001</v>
      </c>
      <c r="D25" s="860">
        <v>1831.3112506344869</v>
      </c>
      <c r="E25" s="1948">
        <v>13890.242960031606</v>
      </c>
      <c r="F25" s="1171">
        <v>1805.0938588852396</v>
      </c>
      <c r="G25" s="1172">
        <v>1061.157164068622</v>
      </c>
      <c r="H25" s="1173">
        <v>3469.8210296679035</v>
      </c>
      <c r="I25" s="1174">
        <v>22172.542053907859</v>
      </c>
      <c r="J25" s="645">
        <v>17080.696547717809</v>
      </c>
      <c r="K25" s="1175">
        <v>39253.238601625664</v>
      </c>
      <c r="L25" s="1176">
        <v>9008.6878345766327</v>
      </c>
      <c r="M25" s="315"/>
      <c r="N25" s="993"/>
    </row>
    <row r="26" spans="1:14" s="321" customFormat="1" ht="15">
      <c r="A26" s="770"/>
      <c r="B26" s="771" t="s">
        <v>242</v>
      </c>
      <c r="C26" s="1170">
        <v>138.14404708399999</v>
      </c>
      <c r="D26" s="860">
        <v>1903.4678650070223</v>
      </c>
      <c r="E26" s="645">
        <v>14192.476435533848</v>
      </c>
      <c r="F26" s="1171">
        <v>1752.2838369488788</v>
      </c>
      <c r="G26" s="1172">
        <v>1071.9268797930233</v>
      </c>
      <c r="H26" s="1173">
        <v>3492.5553861172175</v>
      </c>
      <c r="I26" s="1174">
        <v>22550.854450483985</v>
      </c>
      <c r="J26" s="645">
        <v>17709.761864411757</v>
      </c>
      <c r="K26" s="1175">
        <v>40260.67631489574</v>
      </c>
      <c r="L26" s="1176">
        <v>8098.2481488338981</v>
      </c>
      <c r="M26" s="315"/>
      <c r="N26" s="993"/>
    </row>
    <row r="27" spans="1:14" s="321" customFormat="1" ht="21" customHeight="1">
      <c r="A27" s="770">
        <v>2024</v>
      </c>
      <c r="B27" s="771" t="s">
        <v>243</v>
      </c>
      <c r="C27" s="1170">
        <f t="shared" ref="C27:L27" si="2">C34</f>
        <v>200.073374112133</v>
      </c>
      <c r="D27" s="860">
        <f t="shared" si="2"/>
        <v>1883.7478437838677</v>
      </c>
      <c r="E27" s="645">
        <f t="shared" si="2"/>
        <v>13923.443321585875</v>
      </c>
      <c r="F27" s="1171">
        <f t="shared" si="2"/>
        <v>1670.5348163171543</v>
      </c>
      <c r="G27" s="1172">
        <f t="shared" si="2"/>
        <v>1202.4583657163234</v>
      </c>
      <c r="H27" s="1173">
        <f t="shared" si="2"/>
        <v>3502.1843045462401</v>
      </c>
      <c r="I27" s="1174">
        <f t="shared" si="2"/>
        <v>22382.442026061595</v>
      </c>
      <c r="J27" s="645">
        <f t="shared" si="2"/>
        <v>18320.1789358471</v>
      </c>
      <c r="K27" s="1175">
        <f t="shared" si="2"/>
        <v>40702.630961908697</v>
      </c>
      <c r="L27" s="1176">
        <f t="shared" si="2"/>
        <v>8078.9498786164168</v>
      </c>
      <c r="M27" s="1217"/>
      <c r="N27" s="993"/>
    </row>
    <row r="28" spans="1:14" s="321" customFormat="1" ht="15" customHeight="1">
      <c r="A28" s="770"/>
      <c r="B28" s="771" t="s">
        <v>244</v>
      </c>
      <c r="C28" s="1170">
        <f t="shared" ref="C28:L28" si="3">C37</f>
        <v>90.252287471000002</v>
      </c>
      <c r="D28" s="860">
        <f t="shared" si="3"/>
        <v>1777.1609270093923</v>
      </c>
      <c r="E28" s="645">
        <f t="shared" si="3"/>
        <v>14187.217077307099</v>
      </c>
      <c r="F28" s="1171">
        <f t="shared" si="3"/>
        <v>1793.930461523647</v>
      </c>
      <c r="G28" s="1172">
        <f t="shared" si="3"/>
        <v>926.19115875134821</v>
      </c>
      <c r="H28" s="1173">
        <f t="shared" si="3"/>
        <v>3561.4267128245556</v>
      </c>
      <c r="I28" s="1174">
        <f t="shared" si="3"/>
        <v>22336.178624887041</v>
      </c>
      <c r="J28" s="645">
        <f t="shared" si="3"/>
        <v>18861.69132800266</v>
      </c>
      <c r="K28" s="1175">
        <f t="shared" si="3"/>
        <v>41197.869952889705</v>
      </c>
      <c r="L28" s="1176">
        <f t="shared" si="3"/>
        <v>7952.2399909801152</v>
      </c>
      <c r="M28" s="1217"/>
      <c r="N28" s="993"/>
    </row>
    <row r="29" spans="1:14" s="321" customFormat="1" ht="15" customHeight="1">
      <c r="A29" s="770"/>
      <c r="B29" s="771" t="s">
        <v>245</v>
      </c>
      <c r="C29" s="1170">
        <f t="shared" ref="C29:L29" si="4">C40</f>
        <v>72.141514293</v>
      </c>
      <c r="D29" s="860">
        <f t="shared" si="4"/>
        <v>1787.0665777861395</v>
      </c>
      <c r="E29" s="645">
        <f t="shared" si="4"/>
        <v>14625.196080574435</v>
      </c>
      <c r="F29" s="1171">
        <f t="shared" si="4"/>
        <v>1954.2955666774083</v>
      </c>
      <c r="G29" s="1172">
        <f t="shared" si="4"/>
        <v>1017.177223606166</v>
      </c>
      <c r="H29" s="1173">
        <f t="shared" si="4"/>
        <v>3710.2120116812121</v>
      </c>
      <c r="I29" s="1174">
        <f t="shared" si="4"/>
        <v>23166.088974618364</v>
      </c>
      <c r="J29" s="645">
        <f t="shared" si="4"/>
        <v>18365.857669689172</v>
      </c>
      <c r="K29" s="1175">
        <f t="shared" si="4"/>
        <v>41531.956644307531</v>
      </c>
      <c r="L29" s="1176">
        <f t="shared" si="4"/>
        <v>8266.249593786757</v>
      </c>
      <c r="M29" s="1217"/>
      <c r="N29" s="993"/>
    </row>
    <row r="30" spans="1:14" s="321" customFormat="1" ht="15" customHeight="1">
      <c r="A30" s="930"/>
      <c r="B30" s="1025" t="s">
        <v>242</v>
      </c>
      <c r="C30" s="1080">
        <f t="shared" ref="C30:L30" si="5">C43</f>
        <v>98.888157705999987</v>
      </c>
      <c r="D30" s="998">
        <f t="shared" si="5"/>
        <v>1702.5926545585321</v>
      </c>
      <c r="E30" s="1054">
        <f t="shared" si="5"/>
        <v>14249.887719419561</v>
      </c>
      <c r="F30" s="1081">
        <f t="shared" si="5"/>
        <v>1913.6801198752273</v>
      </c>
      <c r="G30" s="1082">
        <f t="shared" si="5"/>
        <v>869.67753145086726</v>
      </c>
      <c r="H30" s="1083">
        <f t="shared" si="5"/>
        <v>3804.5401068321003</v>
      </c>
      <c r="I30" s="1084">
        <f t="shared" si="5"/>
        <v>22639.276289842288</v>
      </c>
      <c r="J30" s="1054">
        <f t="shared" si="5"/>
        <v>19070.236476899641</v>
      </c>
      <c r="K30" s="1085">
        <f t="shared" si="5"/>
        <v>41709.512766741929</v>
      </c>
      <c r="L30" s="1086">
        <f t="shared" si="5"/>
        <v>7334.6113541364784</v>
      </c>
      <c r="M30" s="1217"/>
      <c r="N30" s="993"/>
    </row>
    <row r="31" spans="1:14" s="306" customFormat="1" ht="21" customHeight="1">
      <c r="A31" s="405">
        <v>2023</v>
      </c>
      <c r="B31" s="516" t="s">
        <v>426</v>
      </c>
      <c r="C31" s="676">
        <v>138.14404708399999</v>
      </c>
      <c r="D31" s="807">
        <v>1903.4678650070223</v>
      </c>
      <c r="E31" s="701">
        <v>14192.476435533848</v>
      </c>
      <c r="F31" s="808">
        <v>1752.2838369488788</v>
      </c>
      <c r="G31" s="809">
        <v>1071.9268797930233</v>
      </c>
      <c r="H31" s="810">
        <v>3492.5553861172175</v>
      </c>
      <c r="I31" s="811">
        <v>22550.854450483985</v>
      </c>
      <c r="J31" s="811">
        <v>17709.761864411757</v>
      </c>
      <c r="K31" s="812">
        <v>40260.67631489574</v>
      </c>
      <c r="L31" s="813">
        <v>8098.2481488338981</v>
      </c>
      <c r="M31" s="315"/>
      <c r="N31" s="993"/>
    </row>
    <row r="32" spans="1:14" s="306" customFormat="1" ht="21" customHeight="1">
      <c r="A32" s="405">
        <v>2024</v>
      </c>
      <c r="B32" s="516" t="s">
        <v>427</v>
      </c>
      <c r="C32" s="676">
        <v>133.810633653</v>
      </c>
      <c r="D32" s="807">
        <v>1961.5378795834936</v>
      </c>
      <c r="E32" s="701">
        <v>14091.363271707349</v>
      </c>
      <c r="F32" s="808">
        <v>1692.0696893655381</v>
      </c>
      <c r="G32" s="809">
        <v>939.73525511007131</v>
      </c>
      <c r="H32" s="810">
        <v>3497.2033738208133</v>
      </c>
      <c r="I32" s="811">
        <v>22315.700103240262</v>
      </c>
      <c r="J32" s="811">
        <v>18401.957851315179</v>
      </c>
      <c r="K32" s="812">
        <v>40717.657954555441</v>
      </c>
      <c r="L32" s="813">
        <v>8073.412470817203</v>
      </c>
      <c r="M32" s="315"/>
      <c r="N32" s="993"/>
    </row>
    <row r="33" spans="1:14" s="306" customFormat="1" ht="16.5" customHeight="1">
      <c r="A33" s="405"/>
      <c r="B33" s="516" t="s">
        <v>416</v>
      </c>
      <c r="C33" s="676">
        <v>266.24684806326599</v>
      </c>
      <c r="D33" s="807">
        <v>1953.683032464917</v>
      </c>
      <c r="E33" s="701">
        <v>13977.201284920098</v>
      </c>
      <c r="F33" s="808">
        <v>1713.3276470764504</v>
      </c>
      <c r="G33" s="809">
        <v>973.31609744708442</v>
      </c>
      <c r="H33" s="810">
        <v>3586.4551907359833</v>
      </c>
      <c r="I33" s="811">
        <v>22470.210100707794</v>
      </c>
      <c r="J33" s="811">
        <v>18172.210117864197</v>
      </c>
      <c r="K33" s="812">
        <v>40642.420218571991</v>
      </c>
      <c r="L33" s="813">
        <v>7945.2122896746969</v>
      </c>
      <c r="M33" s="315"/>
      <c r="N33" s="993"/>
    </row>
    <row r="34" spans="1:14" s="306" customFormat="1" ht="16.5" customHeight="1">
      <c r="A34" s="405"/>
      <c r="B34" s="516" t="s">
        <v>417</v>
      </c>
      <c r="C34" s="676">
        <v>200.073374112133</v>
      </c>
      <c r="D34" s="807">
        <v>1883.7478437838677</v>
      </c>
      <c r="E34" s="701">
        <v>13923.443321585875</v>
      </c>
      <c r="F34" s="808">
        <v>1670.5348163171543</v>
      </c>
      <c r="G34" s="809">
        <v>1202.4583657163234</v>
      </c>
      <c r="H34" s="810">
        <v>3502.1843045462401</v>
      </c>
      <c r="I34" s="811">
        <v>22382.442026061595</v>
      </c>
      <c r="J34" s="811">
        <v>18320.1789358471</v>
      </c>
      <c r="K34" s="812">
        <v>40702.630961908697</v>
      </c>
      <c r="L34" s="813">
        <v>8078.9498786164168</v>
      </c>
      <c r="M34" s="315"/>
      <c r="N34" s="993"/>
    </row>
    <row r="35" spans="1:14" s="306" customFormat="1" ht="16.5" customHeight="1">
      <c r="A35" s="405"/>
      <c r="B35" s="516" t="s">
        <v>418</v>
      </c>
      <c r="C35" s="676">
        <v>135.19144804000001</v>
      </c>
      <c r="D35" s="807">
        <v>1909.3370760336527</v>
      </c>
      <c r="E35" s="701">
        <v>13924.106621320652</v>
      </c>
      <c r="F35" s="808">
        <v>1734.8551087853248</v>
      </c>
      <c r="G35" s="809">
        <v>965.46695811734867</v>
      </c>
      <c r="H35" s="810">
        <v>3542.9904705514591</v>
      </c>
      <c r="I35" s="811">
        <v>22211.957682848435</v>
      </c>
      <c r="J35" s="811">
        <v>18647.032473928408</v>
      </c>
      <c r="K35" s="812">
        <v>40858.960156776848</v>
      </c>
      <c r="L35" s="813">
        <v>8097.3947506349741</v>
      </c>
      <c r="M35" s="315"/>
      <c r="N35" s="993"/>
    </row>
    <row r="36" spans="1:14" s="306" customFormat="1" ht="16.5" customHeight="1">
      <c r="A36" s="405"/>
      <c r="B36" s="516" t="s">
        <v>419</v>
      </c>
      <c r="C36" s="676">
        <v>28.821896979999998</v>
      </c>
      <c r="D36" s="807">
        <v>1968.2682450276661</v>
      </c>
      <c r="E36" s="701">
        <v>13947.282286338936</v>
      </c>
      <c r="F36" s="808">
        <v>1812.460808736259</v>
      </c>
      <c r="G36" s="809">
        <v>917.8519509437408</v>
      </c>
      <c r="H36" s="810">
        <v>3565.2423976046584</v>
      </c>
      <c r="I36" s="811">
        <v>22239.977585631263</v>
      </c>
      <c r="J36" s="811">
        <v>18994.954520241321</v>
      </c>
      <c r="K36" s="812">
        <v>41234.982105872579</v>
      </c>
      <c r="L36" s="813">
        <v>7688.6281196133832</v>
      </c>
      <c r="M36" s="315"/>
      <c r="N36" s="993"/>
    </row>
    <row r="37" spans="1:14" s="306" customFormat="1" ht="16.5" customHeight="1">
      <c r="A37" s="405"/>
      <c r="B37" s="516" t="s">
        <v>420</v>
      </c>
      <c r="C37" s="676">
        <v>90.252287471000002</v>
      </c>
      <c r="D37" s="807">
        <v>1777.1609270093923</v>
      </c>
      <c r="E37" s="701">
        <v>14187.217077307099</v>
      </c>
      <c r="F37" s="808">
        <v>1793.930461523647</v>
      </c>
      <c r="G37" s="809">
        <v>926.19115875134821</v>
      </c>
      <c r="H37" s="810">
        <v>3561.4267128245556</v>
      </c>
      <c r="I37" s="811">
        <v>22336.178624887041</v>
      </c>
      <c r="J37" s="811">
        <v>18861.69132800266</v>
      </c>
      <c r="K37" s="812">
        <v>41197.869952889705</v>
      </c>
      <c r="L37" s="813">
        <v>7952.2399909801152</v>
      </c>
      <c r="M37" s="315"/>
      <c r="N37" s="993"/>
    </row>
    <row r="38" spans="1:14" s="306" customFormat="1" ht="16.5" customHeight="1">
      <c r="A38" s="405"/>
      <c r="B38" s="516" t="s">
        <v>421</v>
      </c>
      <c r="C38" s="676">
        <v>75.758696688000001</v>
      </c>
      <c r="D38" s="807">
        <v>1741.8349605983092</v>
      </c>
      <c r="E38" s="701">
        <v>14264.030672160776</v>
      </c>
      <c r="F38" s="808">
        <v>1786.873251397182</v>
      </c>
      <c r="G38" s="809">
        <v>955.84278529806193</v>
      </c>
      <c r="H38" s="810">
        <v>3591.8197575038521</v>
      </c>
      <c r="I38" s="811">
        <v>22416.140123646182</v>
      </c>
      <c r="J38" s="811">
        <v>18650.755675843237</v>
      </c>
      <c r="K38" s="812">
        <v>41066.875799489411</v>
      </c>
      <c r="L38" s="813">
        <v>7698.045512913226</v>
      </c>
      <c r="M38" s="315"/>
      <c r="N38" s="993"/>
    </row>
    <row r="39" spans="1:14" s="306" customFormat="1" ht="16.5" customHeight="1">
      <c r="A39" s="405"/>
      <c r="B39" s="516" t="s">
        <v>422</v>
      </c>
      <c r="C39" s="676">
        <v>80.298478891000002</v>
      </c>
      <c r="D39" s="807">
        <v>1989.2411595550575</v>
      </c>
      <c r="E39" s="701">
        <v>14312.161452309691</v>
      </c>
      <c r="F39" s="808">
        <v>2092.5954743078528</v>
      </c>
      <c r="G39" s="809">
        <v>953.20734466862893</v>
      </c>
      <c r="H39" s="810">
        <v>3565.4412586763092</v>
      </c>
      <c r="I39" s="811">
        <v>22992.935168408541</v>
      </c>
      <c r="J39" s="811">
        <v>18617.481896800105</v>
      </c>
      <c r="K39" s="812">
        <v>41610.447065208646</v>
      </c>
      <c r="L39" s="813">
        <v>7507.6241794205234</v>
      </c>
      <c r="M39" s="315"/>
      <c r="N39" s="993"/>
    </row>
    <row r="40" spans="1:14" s="306" customFormat="1" ht="16.5" customHeight="1">
      <c r="A40" s="405"/>
      <c r="B40" s="516" t="s">
        <v>423</v>
      </c>
      <c r="C40" s="676">
        <v>72.141514293</v>
      </c>
      <c r="D40" s="807">
        <v>1787.0665777861395</v>
      </c>
      <c r="E40" s="701">
        <v>14625.196080574435</v>
      </c>
      <c r="F40" s="808">
        <v>1954.2955666774083</v>
      </c>
      <c r="G40" s="809">
        <v>1017.177223606166</v>
      </c>
      <c r="H40" s="810">
        <v>3710.2120116812121</v>
      </c>
      <c r="I40" s="811">
        <v>23166.088974618364</v>
      </c>
      <c r="J40" s="811">
        <v>18365.857669689172</v>
      </c>
      <c r="K40" s="812">
        <v>41531.956644307531</v>
      </c>
      <c r="L40" s="813">
        <v>8266.249593786757</v>
      </c>
      <c r="M40" s="315"/>
      <c r="N40" s="993"/>
    </row>
    <row r="41" spans="1:14" s="306" customFormat="1" ht="16.5" customHeight="1">
      <c r="A41" s="405"/>
      <c r="B41" s="516" t="s">
        <v>424</v>
      </c>
      <c r="C41" s="676">
        <v>97.480879991999998</v>
      </c>
      <c r="D41" s="807">
        <v>1709.6426296252339</v>
      </c>
      <c r="E41" s="701">
        <v>14409.187989269798</v>
      </c>
      <c r="F41" s="808">
        <v>1994.869609574223</v>
      </c>
      <c r="G41" s="809">
        <v>778.16090313107554</v>
      </c>
      <c r="H41" s="810">
        <v>3788.4358084480023</v>
      </c>
      <c r="I41" s="811">
        <v>22777.807820040332</v>
      </c>
      <c r="J41" s="811">
        <v>18264.862428210068</v>
      </c>
      <c r="K41" s="812">
        <v>41042.670248250397</v>
      </c>
      <c r="L41" s="813">
        <v>8107.341202416379</v>
      </c>
      <c r="M41" s="315"/>
      <c r="N41" s="993"/>
    </row>
    <row r="42" spans="1:14" s="306" customFormat="1" ht="16.5" customHeight="1">
      <c r="A42" s="405"/>
      <c r="B42" s="516" t="s">
        <v>425</v>
      </c>
      <c r="C42" s="676">
        <v>74.596496490000007</v>
      </c>
      <c r="D42" s="807">
        <v>1790.1024500348192</v>
      </c>
      <c r="E42" s="701">
        <v>14269.404761254083</v>
      </c>
      <c r="F42" s="808">
        <v>1932.4213104343894</v>
      </c>
      <c r="G42" s="809">
        <v>948.22629011559172</v>
      </c>
      <c r="H42" s="810">
        <v>3790.3215852674593</v>
      </c>
      <c r="I42" s="811">
        <v>22805.042893596346</v>
      </c>
      <c r="J42" s="811">
        <v>18715.500534829796</v>
      </c>
      <c r="K42" s="812">
        <v>41520.54342842615</v>
      </c>
      <c r="L42" s="813">
        <v>8262.9480924180662</v>
      </c>
      <c r="M42" s="315"/>
      <c r="N42" s="993"/>
    </row>
    <row r="43" spans="1:14" s="306" customFormat="1" ht="16.5" customHeight="1">
      <c r="A43" s="405"/>
      <c r="B43" s="516" t="s">
        <v>426</v>
      </c>
      <c r="C43" s="676">
        <v>98.888157705999987</v>
      </c>
      <c r="D43" s="807">
        <v>1702.5926545585321</v>
      </c>
      <c r="E43" s="701">
        <v>14249.887719419561</v>
      </c>
      <c r="F43" s="808">
        <v>1913.6801198752273</v>
      </c>
      <c r="G43" s="809">
        <v>869.67753145086726</v>
      </c>
      <c r="H43" s="810">
        <v>3804.5401068321003</v>
      </c>
      <c r="I43" s="811">
        <v>22639.276289842288</v>
      </c>
      <c r="J43" s="811">
        <v>19070.236476899641</v>
      </c>
      <c r="K43" s="812">
        <v>41709.512766741929</v>
      </c>
      <c r="L43" s="813">
        <v>7334.6113541364784</v>
      </c>
      <c r="M43" s="315"/>
      <c r="N43" s="993"/>
    </row>
    <row r="44" spans="1:14" s="2" customFormat="1" ht="20.25" customHeight="1">
      <c r="A44" s="215" t="s">
        <v>807</v>
      </c>
      <c r="B44" s="217"/>
      <c r="C44" s="603"/>
      <c r="D44" s="217"/>
      <c r="E44" s="217"/>
      <c r="F44" s="217"/>
      <c r="G44" s="223"/>
      <c r="H44" s="217"/>
      <c r="I44" s="215"/>
      <c r="J44" s="218"/>
      <c r="K44" s="215"/>
      <c r="L44" s="236" t="s">
        <v>808</v>
      </c>
      <c r="M44" s="145"/>
    </row>
    <row r="45" spans="1:14" s="2" customFormat="1" ht="13.7" customHeight="1">
      <c r="A45" s="5" t="s">
        <v>809</v>
      </c>
      <c r="G45" s="147"/>
      <c r="I45" s="25"/>
      <c r="J45" s="7"/>
      <c r="K45" s="25"/>
      <c r="L45" s="237" t="s">
        <v>810</v>
      </c>
      <c r="M45" s="145"/>
    </row>
    <row r="46" spans="1:14" s="2" customFormat="1" ht="13.7" customHeight="1">
      <c r="A46" s="5"/>
      <c r="I46" s="6"/>
      <c r="J46" s="6"/>
      <c r="K46" s="25"/>
      <c r="L46" s="755"/>
      <c r="M46" s="145"/>
    </row>
    <row r="47" spans="1:14">
      <c r="B47" s="7"/>
      <c r="C47" s="655"/>
      <c r="D47" s="655"/>
      <c r="E47" s="655"/>
      <c r="F47" s="655"/>
      <c r="G47" s="655"/>
      <c r="H47" s="655"/>
      <c r="I47" s="655"/>
      <c r="J47" s="655"/>
      <c r="K47" s="655"/>
      <c r="L47" s="655"/>
    </row>
    <row r="48" spans="1:14">
      <c r="B48" s="3"/>
      <c r="C48" s="1913"/>
      <c r="D48" s="1913"/>
      <c r="E48" s="1913"/>
      <c r="F48" s="1913"/>
      <c r="G48" s="1913"/>
      <c r="H48" s="1913"/>
      <c r="I48" s="1913"/>
      <c r="J48" s="1913"/>
      <c r="K48" s="1913"/>
      <c r="L48" s="1913"/>
    </row>
    <row r="49" spans="1:13" ht="14.25">
      <c r="A49" s="318" t="s">
        <v>811</v>
      </c>
      <c r="B49" s="318"/>
      <c r="C49" s="318"/>
      <c r="D49" s="318"/>
      <c r="E49" s="318"/>
      <c r="F49" s="318"/>
      <c r="G49" s="318"/>
      <c r="H49" s="318"/>
      <c r="I49" s="318"/>
      <c r="J49" s="318"/>
      <c r="K49" s="318"/>
      <c r="L49" s="318"/>
      <c r="M49" s="25"/>
    </row>
    <row r="50" spans="1:13">
      <c r="K50" s="601"/>
    </row>
    <row r="52" spans="1:13">
      <c r="A52" s="249"/>
      <c r="M52" s="25"/>
    </row>
    <row r="53" spans="1:13">
      <c r="A53" s="146"/>
      <c r="M53" s="25"/>
    </row>
  </sheetData>
  <phoneticPr fontId="0" type="noConversion"/>
  <printOptions horizontalCentered="1" verticalCentered="1"/>
  <pageMargins left="0" right="0" top="0" bottom="0" header="0.511811023622047" footer="0.511811023622047"/>
  <pageSetup paperSize="9" scale="7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37" activePane="bottomLeft" state="frozen"/>
      <selection activeCell="B12" sqref="B12"/>
      <selection pane="bottomLeft" activeCell="I38" sqref="I38"/>
    </sheetView>
  </sheetViews>
  <sheetFormatPr defaultColWidth="9.140625" defaultRowHeight="12.75"/>
  <cols>
    <col min="1" max="2" width="9.7109375" style="381" customWidth="1"/>
    <col min="3" max="10" width="13.7109375" style="381" customWidth="1"/>
    <col min="11" max="11" width="9.7109375" style="381" customWidth="1"/>
    <col min="12" max="16384" width="9.140625" style="381"/>
  </cols>
  <sheetData>
    <row r="1" spans="1:12" hidden="1"/>
    <row r="2" spans="1:12" hidden="1"/>
    <row r="3" spans="1:12" hidden="1"/>
    <row r="4" spans="1:12" hidden="1"/>
    <row r="5" spans="1:12" hidden="1"/>
    <row r="6" spans="1:12" ht="18" customHeight="1">
      <c r="A6" s="165" t="s">
        <v>1776</v>
      </c>
      <c r="B6" s="1740"/>
      <c r="C6" s="382"/>
      <c r="D6" s="382"/>
      <c r="E6" s="382"/>
      <c r="F6" s="382"/>
      <c r="G6" s="382"/>
      <c r="H6" s="382"/>
      <c r="I6" s="382"/>
      <c r="J6" s="382"/>
    </row>
    <row r="7" spans="1:12" ht="18" customHeight="1">
      <c r="A7" s="1921" t="s">
        <v>812</v>
      </c>
      <c r="B7" s="1740"/>
      <c r="C7" s="382"/>
      <c r="D7" s="382"/>
      <c r="E7" s="382"/>
      <c r="F7" s="382"/>
      <c r="G7" s="382"/>
      <c r="H7" s="382"/>
      <c r="I7" s="382"/>
      <c r="J7" s="382"/>
    </row>
    <row r="8" spans="1:12" ht="18" customHeight="1">
      <c r="A8" s="165" t="s">
        <v>813</v>
      </c>
      <c r="B8" s="1740"/>
      <c r="C8" s="382"/>
      <c r="D8" s="382"/>
      <c r="E8" s="382"/>
      <c r="F8" s="382"/>
      <c r="G8" s="382"/>
      <c r="H8" s="382"/>
      <c r="I8" s="382"/>
      <c r="J8" s="382"/>
    </row>
    <row r="9" spans="1:12" s="149" customFormat="1" ht="12.75" customHeight="1">
      <c r="A9" s="149" t="s">
        <v>373</v>
      </c>
      <c r="B9" s="322"/>
      <c r="C9" s="323"/>
      <c r="D9" s="323"/>
      <c r="E9" s="323"/>
      <c r="F9" s="323"/>
      <c r="G9" s="323"/>
      <c r="H9" s="323"/>
      <c r="I9" s="323"/>
      <c r="J9" s="324" t="s">
        <v>374</v>
      </c>
    </row>
    <row r="10" spans="1:12" s="161" customFormat="1" ht="18" customHeight="1">
      <c r="A10" s="325"/>
      <c r="B10" s="326"/>
      <c r="C10" s="327" t="s">
        <v>814</v>
      </c>
      <c r="D10" s="328"/>
      <c r="E10" s="329"/>
      <c r="F10" s="330" t="s">
        <v>376</v>
      </c>
      <c r="G10" s="327" t="s">
        <v>377</v>
      </c>
      <c r="H10" s="328"/>
      <c r="I10" s="331" t="s">
        <v>378</v>
      </c>
      <c r="J10" s="332" t="s">
        <v>501</v>
      </c>
    </row>
    <row r="11" spans="1:12" s="164" customFormat="1" ht="18" customHeight="1">
      <c r="A11" s="333" t="s">
        <v>383</v>
      </c>
      <c r="B11" s="334"/>
      <c r="C11" s="335" t="s">
        <v>436</v>
      </c>
      <c r="D11" s="336" t="s">
        <v>815</v>
      </c>
      <c r="E11" s="337" t="s">
        <v>386</v>
      </c>
      <c r="F11" s="338" t="s">
        <v>816</v>
      </c>
      <c r="G11" s="335" t="s">
        <v>436</v>
      </c>
      <c r="H11" s="336" t="s">
        <v>815</v>
      </c>
      <c r="I11" s="337" t="s">
        <v>386</v>
      </c>
      <c r="J11" s="339" t="s">
        <v>379</v>
      </c>
    </row>
    <row r="12" spans="1:12" s="161" customFormat="1" ht="30.2" customHeight="1">
      <c r="A12" s="340" t="s">
        <v>391</v>
      </c>
      <c r="B12" s="341"/>
      <c r="C12" s="342" t="s">
        <v>817</v>
      </c>
      <c r="D12" s="343" t="s">
        <v>763</v>
      </c>
      <c r="E12" s="343" t="s">
        <v>397</v>
      </c>
      <c r="F12" s="343" t="s">
        <v>818</v>
      </c>
      <c r="G12" s="342" t="s">
        <v>410</v>
      </c>
      <c r="H12" s="344" t="s">
        <v>763</v>
      </c>
      <c r="I12" s="342" t="s">
        <v>397</v>
      </c>
      <c r="J12" s="343" t="s">
        <v>819</v>
      </c>
      <c r="K12" s="345"/>
      <c r="L12" s="1922"/>
    </row>
    <row r="13" spans="1:12" s="149" customFormat="1" ht="20.25" customHeight="1">
      <c r="A13" s="540">
        <v>2015</v>
      </c>
      <c r="B13" s="542"/>
      <c r="C13" s="1923">
        <v>5407.8194753928874</v>
      </c>
      <c r="D13" s="1923">
        <v>8970.9253716994244</v>
      </c>
      <c r="E13" s="1924">
        <v>14378.745316284207</v>
      </c>
      <c r="F13" s="1925">
        <v>3527.4071688859804</v>
      </c>
      <c r="G13" s="1924">
        <v>8180.3266546307696</v>
      </c>
      <c r="H13" s="1924">
        <v>6569.8847566909972</v>
      </c>
      <c r="I13" s="1924">
        <v>14750.222166700132</v>
      </c>
      <c r="J13" s="1924">
        <v>-371.47685041592558</v>
      </c>
      <c r="K13" s="815"/>
      <c r="L13" s="815"/>
    </row>
    <row r="14" spans="1:12" s="1927" customFormat="1" ht="14.25" customHeight="1">
      <c r="A14" s="540">
        <v>2016</v>
      </c>
      <c r="B14" s="1926"/>
      <c r="C14" s="1924">
        <v>4748.6593469816726</v>
      </c>
      <c r="D14" s="1924">
        <v>9115.8419323927264</v>
      </c>
      <c r="E14" s="1924">
        <v>13864.540338904006</v>
      </c>
      <c r="F14" s="1924">
        <v>3738.7431950292416</v>
      </c>
      <c r="G14" s="1924">
        <v>8007.6571794938845</v>
      </c>
      <c r="H14" s="1924">
        <v>6445.0565690034855</v>
      </c>
      <c r="I14" s="1924">
        <v>14452.803721047296</v>
      </c>
      <c r="J14" s="1924">
        <v>-588.26338214329007</v>
      </c>
      <c r="K14" s="815"/>
      <c r="L14" s="815"/>
    </row>
    <row r="15" spans="1:12" s="1927" customFormat="1" ht="14.25" customHeight="1">
      <c r="A15" s="540">
        <v>2017</v>
      </c>
      <c r="B15" s="1926"/>
      <c r="C15" s="1924">
        <v>4556.9541569592639</v>
      </c>
      <c r="D15" s="1924">
        <v>8807.0021507301371</v>
      </c>
      <c r="E15" s="1924">
        <v>13364.043650535194</v>
      </c>
      <c r="F15" s="1924">
        <v>3797.5894805756334</v>
      </c>
      <c r="G15" s="1924">
        <v>7910.5285125719365</v>
      </c>
      <c r="H15" s="1924">
        <v>6374.9716246168573</v>
      </c>
      <c r="I15" s="1924">
        <v>14285.454760065642</v>
      </c>
      <c r="J15" s="1924">
        <v>-921.46110953044877</v>
      </c>
      <c r="K15" s="815"/>
      <c r="L15" s="815"/>
    </row>
    <row r="16" spans="1:12"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ht="14.25" customHeight="1">
      <c r="A21" s="875">
        <v>2023</v>
      </c>
      <c r="B21" s="876"/>
      <c r="C21" s="604">
        <f t="shared" ref="C21:J21" si="0">C26</f>
        <v>5436.4479158943268</v>
      </c>
      <c r="D21" s="604">
        <f t="shared" si="0"/>
        <v>9171.9803181576281</v>
      </c>
      <c r="E21" s="604">
        <f t="shared" si="0"/>
        <v>14608.358006707931</v>
      </c>
      <c r="F21" s="814">
        <f t="shared" si="0"/>
        <v>5446.4011180709149</v>
      </c>
      <c r="G21" s="604">
        <f t="shared" si="0"/>
        <v>10590.764545120383</v>
      </c>
      <c r="H21" s="604">
        <f t="shared" si="0"/>
        <v>7118.9568467031904</v>
      </c>
      <c r="I21" s="604">
        <f t="shared" si="0"/>
        <v>17709.761864411757</v>
      </c>
      <c r="J21" s="604">
        <f t="shared" si="0"/>
        <v>-3101.3999999999996</v>
      </c>
      <c r="K21" s="815"/>
      <c r="L21" s="815"/>
    </row>
    <row r="22" spans="1:13" ht="14.25" customHeight="1">
      <c r="A22" s="1009">
        <v>2024</v>
      </c>
      <c r="B22" s="1077"/>
      <c r="C22" s="1078">
        <f t="shared" ref="C22:J22" si="1">C30</f>
        <v>5487.9260734431728</v>
      </c>
      <c r="D22" s="1078">
        <f t="shared" si="1"/>
        <v>9358.6194223316816</v>
      </c>
      <c r="E22" s="1078">
        <f t="shared" si="1"/>
        <v>14846.494816834533</v>
      </c>
      <c r="F22" s="1079">
        <f t="shared" si="1"/>
        <v>6003.6107097827135</v>
      </c>
      <c r="G22" s="1078">
        <f t="shared" si="1"/>
        <v>13960.032754026735</v>
      </c>
      <c r="H22" s="1078">
        <f t="shared" si="1"/>
        <v>5110.1741471447785</v>
      </c>
      <c r="I22" s="1078">
        <f t="shared" si="1"/>
        <v>19070.236476899641</v>
      </c>
      <c r="J22" s="1078">
        <f t="shared" si="1"/>
        <v>-4223.7000000000007</v>
      </c>
      <c r="K22" s="815"/>
      <c r="L22" s="815"/>
    </row>
    <row r="23" spans="1:13" ht="21" customHeight="1">
      <c r="A23" s="875">
        <v>2023</v>
      </c>
      <c r="B23" s="876" t="s">
        <v>243</v>
      </c>
      <c r="C23" s="604">
        <v>4840.731421070268</v>
      </c>
      <c r="D23" s="604">
        <v>8102.736006388538</v>
      </c>
      <c r="E23" s="604">
        <v>12943.367692286973</v>
      </c>
      <c r="F23" s="814">
        <v>4559.537705406141</v>
      </c>
      <c r="G23" s="604">
        <v>9757.5982537202726</v>
      </c>
      <c r="H23" s="604">
        <v>6212.0251472081209</v>
      </c>
      <c r="I23" s="604">
        <v>15969.649948303813</v>
      </c>
      <c r="J23" s="604">
        <v>-3026.2000000000007</v>
      </c>
      <c r="K23" s="815"/>
      <c r="L23" s="815"/>
    </row>
    <row r="24" spans="1:13">
      <c r="A24" s="875"/>
      <c r="B24" s="876" t="s">
        <v>244</v>
      </c>
      <c r="C24" s="604">
        <v>5038.7833999367094</v>
      </c>
      <c r="D24" s="604">
        <v>8256.7778675176742</v>
      </c>
      <c r="E24" s="604">
        <v>13295.553111390338</v>
      </c>
      <c r="F24" s="814">
        <v>4564.4264647028394</v>
      </c>
      <c r="G24" s="604">
        <v>9696.7438193230591</v>
      </c>
      <c r="H24" s="604">
        <v>6465.1293950006257</v>
      </c>
      <c r="I24" s="604">
        <v>16161.842669763006</v>
      </c>
      <c r="J24" s="604">
        <v>-2866.1999999999989</v>
      </c>
      <c r="K24" s="815"/>
      <c r="L24" s="815"/>
    </row>
    <row r="25" spans="1:13">
      <c r="A25" s="875"/>
      <c r="B25" s="876" t="s">
        <v>245</v>
      </c>
      <c r="C25" s="1928">
        <v>5599.8680371717783</v>
      </c>
      <c r="D25" s="604">
        <v>8287.4512255642148</v>
      </c>
      <c r="E25" s="1929">
        <v>13887.392874941715</v>
      </c>
      <c r="F25" s="814">
        <v>4588.29916311323</v>
      </c>
      <c r="G25" s="604">
        <v>10065.945487810368</v>
      </c>
      <c r="H25" s="604">
        <v>7014.8143430651289</v>
      </c>
      <c r="I25" s="604">
        <v>17080.696547717809</v>
      </c>
      <c r="J25" s="604">
        <v>-3193.3000000000011</v>
      </c>
      <c r="K25" s="815"/>
      <c r="L25" s="815"/>
    </row>
    <row r="26" spans="1:13">
      <c r="A26" s="875"/>
      <c r="B26" s="876" t="s">
        <v>242</v>
      </c>
      <c r="C26" s="604">
        <v>5436.4479158943268</v>
      </c>
      <c r="D26" s="604">
        <v>9171.9803181576281</v>
      </c>
      <c r="E26" s="604">
        <v>14608.358006707931</v>
      </c>
      <c r="F26" s="814">
        <v>5446.4011180709149</v>
      </c>
      <c r="G26" s="604">
        <v>10590.764545120383</v>
      </c>
      <c r="H26" s="604">
        <v>7118.9568467031904</v>
      </c>
      <c r="I26" s="604">
        <v>17709.761864411757</v>
      </c>
      <c r="J26" s="604">
        <v>-3101.3999999999996</v>
      </c>
      <c r="K26" s="815"/>
      <c r="L26" s="815"/>
    </row>
    <row r="27" spans="1:13" ht="21" customHeight="1">
      <c r="A27" s="875">
        <v>2024</v>
      </c>
      <c r="B27" s="876" t="s">
        <v>243</v>
      </c>
      <c r="C27" s="604">
        <f t="shared" ref="C27:J27" si="2">C34</f>
        <v>5216.8763196891769</v>
      </c>
      <c r="D27" s="604">
        <f t="shared" si="2"/>
        <v>9407.492899040677</v>
      </c>
      <c r="E27" s="604">
        <f t="shared" si="2"/>
        <v>14624.364205364966</v>
      </c>
      <c r="F27" s="814">
        <f t="shared" si="2"/>
        <v>5877.5865682630883</v>
      </c>
      <c r="G27" s="604">
        <f t="shared" si="2"/>
        <v>12819.725703926364</v>
      </c>
      <c r="H27" s="604">
        <f t="shared" si="2"/>
        <v>5500.4983566448936</v>
      </c>
      <c r="I27" s="604">
        <f t="shared" si="2"/>
        <v>18320.1789358471</v>
      </c>
      <c r="J27" s="604">
        <f t="shared" si="2"/>
        <v>-3695.8000000000011</v>
      </c>
      <c r="K27" s="1218"/>
      <c r="L27" s="815"/>
    </row>
    <row r="28" spans="1:13" ht="15" customHeight="1">
      <c r="A28" s="875"/>
      <c r="B28" s="876" t="s">
        <v>244</v>
      </c>
      <c r="C28" s="604">
        <f t="shared" ref="C28:J28" si="3">C37</f>
        <v>5581.5563957780969</v>
      </c>
      <c r="D28" s="604">
        <f t="shared" si="3"/>
        <v>9073.3885242843699</v>
      </c>
      <c r="E28" s="604">
        <f t="shared" si="3"/>
        <v>14655.041104269798</v>
      </c>
      <c r="F28" s="814">
        <f t="shared" si="3"/>
        <v>5721.386504021114</v>
      </c>
      <c r="G28" s="604">
        <f t="shared" si="3"/>
        <v>13762.166244265356</v>
      </c>
      <c r="H28" s="604">
        <f t="shared" si="3"/>
        <v>5099.462492858901</v>
      </c>
      <c r="I28" s="604">
        <f t="shared" si="3"/>
        <v>18861.69132800266</v>
      </c>
      <c r="J28" s="604">
        <f t="shared" si="3"/>
        <v>-4206.7000000000007</v>
      </c>
      <c r="K28" s="1218"/>
      <c r="L28" s="815"/>
    </row>
    <row r="29" spans="1:13" ht="15" customHeight="1">
      <c r="A29" s="875"/>
      <c r="B29" s="876" t="s">
        <v>245</v>
      </c>
      <c r="C29" s="604">
        <f t="shared" ref="C29:J29" si="4">C40</f>
        <v>4929.6166134010018</v>
      </c>
      <c r="D29" s="604">
        <f t="shared" si="4"/>
        <v>9346.9932099672515</v>
      </c>
      <c r="E29" s="604">
        <f t="shared" si="4"/>
        <v>14276.599021203841</v>
      </c>
      <c r="F29" s="814">
        <f t="shared" si="4"/>
        <v>5977.4471861358652</v>
      </c>
      <c r="G29" s="604">
        <f t="shared" si="4"/>
        <v>13159.85339399734</v>
      </c>
      <c r="H29" s="604">
        <f t="shared" si="4"/>
        <v>5205.9890115296475</v>
      </c>
      <c r="I29" s="604">
        <f t="shared" si="4"/>
        <v>18365.857669689172</v>
      </c>
      <c r="J29" s="604">
        <f t="shared" si="4"/>
        <v>-4089.3000000000011</v>
      </c>
      <c r="K29" s="1218"/>
      <c r="L29" s="815"/>
    </row>
    <row r="30" spans="1:13" ht="15" customHeight="1">
      <c r="A30" s="1009"/>
      <c r="B30" s="1077" t="s">
        <v>242</v>
      </c>
      <c r="C30" s="1078">
        <f t="shared" ref="C30:J30" si="5">C43</f>
        <v>5487.9260734431728</v>
      </c>
      <c r="D30" s="1078">
        <f t="shared" si="5"/>
        <v>9358.6194223316816</v>
      </c>
      <c r="E30" s="1078">
        <f t="shared" si="5"/>
        <v>14846.494816834533</v>
      </c>
      <c r="F30" s="1079">
        <f t="shared" si="5"/>
        <v>6003.6107097827135</v>
      </c>
      <c r="G30" s="1078">
        <f t="shared" si="5"/>
        <v>13960.032754026735</v>
      </c>
      <c r="H30" s="1078">
        <f t="shared" si="5"/>
        <v>5110.1741471447785</v>
      </c>
      <c r="I30" s="1078">
        <f t="shared" si="5"/>
        <v>19070.236476899641</v>
      </c>
      <c r="J30" s="1078">
        <f t="shared" si="5"/>
        <v>-4223.7000000000007</v>
      </c>
      <c r="K30" s="1218"/>
      <c r="L30" s="815"/>
    </row>
    <row r="31" spans="1:13" ht="21" customHeight="1">
      <c r="A31" s="875">
        <v>2023</v>
      </c>
      <c r="B31" s="876" t="s">
        <v>426</v>
      </c>
      <c r="C31" s="604">
        <v>5436.4479158943268</v>
      </c>
      <c r="D31" s="604">
        <v>9171.9803181576281</v>
      </c>
      <c r="E31" s="604">
        <v>14608.358006707931</v>
      </c>
      <c r="F31" s="814">
        <v>5446.4011180709149</v>
      </c>
      <c r="G31" s="604">
        <v>10590.764545120383</v>
      </c>
      <c r="H31" s="604">
        <v>7118.9568467031904</v>
      </c>
      <c r="I31" s="604">
        <v>17709.761864411757</v>
      </c>
      <c r="J31" s="604">
        <v>-3101.3999999999996</v>
      </c>
      <c r="K31" s="815"/>
      <c r="L31" s="815"/>
      <c r="M31" s="1115"/>
    </row>
    <row r="32" spans="1:13" ht="21" customHeight="1">
      <c r="A32" s="875">
        <v>2024</v>
      </c>
      <c r="B32" s="876" t="s">
        <v>427</v>
      </c>
      <c r="C32" s="604">
        <v>5859.2068151608564</v>
      </c>
      <c r="D32" s="604">
        <v>9131.2992104125406</v>
      </c>
      <c r="E32" s="604">
        <v>14990.481845895258</v>
      </c>
      <c r="F32" s="814">
        <v>5383.8190004115977</v>
      </c>
      <c r="G32" s="604">
        <v>13128.657441704256</v>
      </c>
      <c r="H32" s="604">
        <v>5273.2535966806909</v>
      </c>
      <c r="I32" s="604">
        <v>18401.957851315179</v>
      </c>
      <c r="J32" s="604">
        <f t="shared" ref="J32" si="6">ROUND(E32,1)-ROUND(I32,1)</f>
        <v>-3411.5</v>
      </c>
      <c r="K32" s="815"/>
      <c r="L32" s="815"/>
      <c r="M32" s="1115"/>
    </row>
    <row r="33" spans="1:13" ht="14.25" customHeight="1">
      <c r="A33" s="875"/>
      <c r="B33" s="876" t="s">
        <v>416</v>
      </c>
      <c r="C33" s="604">
        <v>5769.9952439760527</v>
      </c>
      <c r="D33" s="604">
        <v>9074.0298665607224</v>
      </c>
      <c r="E33" s="604">
        <v>14844.026365628866</v>
      </c>
      <c r="F33" s="814">
        <v>5894.2611823331263</v>
      </c>
      <c r="G33" s="604">
        <v>13011.464227692724</v>
      </c>
      <c r="H33" s="604">
        <v>5160.6768640793307</v>
      </c>
      <c r="I33" s="604">
        <v>18172.210117864197</v>
      </c>
      <c r="J33" s="604">
        <f t="shared" ref="J33" si="7">ROUND(E33,1)-ROUND(I33,1)</f>
        <v>-3328.2000000000007</v>
      </c>
      <c r="K33" s="815"/>
      <c r="L33" s="815"/>
      <c r="M33" s="1115"/>
    </row>
    <row r="34" spans="1:13" ht="14.25" customHeight="1">
      <c r="A34" s="875"/>
      <c r="B34" s="876" t="s">
        <v>417</v>
      </c>
      <c r="C34" s="604">
        <v>5216.8763196891769</v>
      </c>
      <c r="D34" s="604">
        <v>9407.492899040677</v>
      </c>
      <c r="E34" s="604">
        <v>14624.364205364966</v>
      </c>
      <c r="F34" s="814">
        <v>5877.5865682630883</v>
      </c>
      <c r="G34" s="604">
        <v>12819.725703926364</v>
      </c>
      <c r="H34" s="604">
        <v>5500.4983566448936</v>
      </c>
      <c r="I34" s="604">
        <v>18320.1789358471</v>
      </c>
      <c r="J34" s="604">
        <f t="shared" ref="J34" si="8">ROUND(E34,1)-ROUND(I34,1)</f>
        <v>-3695.8000000000011</v>
      </c>
      <c r="K34" s="815"/>
      <c r="L34" s="815"/>
      <c r="M34" s="1115"/>
    </row>
    <row r="35" spans="1:13" ht="14.25" customHeight="1">
      <c r="A35" s="875"/>
      <c r="B35" s="876" t="s">
        <v>418</v>
      </c>
      <c r="C35" s="604">
        <v>5390.3361090109447</v>
      </c>
      <c r="D35" s="604">
        <v>9370.7350058963311</v>
      </c>
      <c r="E35" s="604">
        <v>14761.010268436501</v>
      </c>
      <c r="F35" s="814">
        <v>5771.4486486821643</v>
      </c>
      <c r="G35" s="604">
        <v>13359.70568094547</v>
      </c>
      <c r="H35" s="604">
        <v>5287.3129492498774</v>
      </c>
      <c r="I35" s="604">
        <v>18647.032473928408</v>
      </c>
      <c r="J35" s="604">
        <f t="shared" ref="J35" si="9">ROUND(E35,1)-ROUND(I35,1)</f>
        <v>-3886</v>
      </c>
      <c r="K35" s="815"/>
      <c r="L35" s="815"/>
      <c r="M35" s="1115"/>
    </row>
    <row r="36" spans="1:13" ht="14.25" customHeight="1">
      <c r="A36" s="875"/>
      <c r="B36" s="876" t="s">
        <v>419</v>
      </c>
      <c r="C36" s="604">
        <v>5977.1880396248898</v>
      </c>
      <c r="D36" s="604">
        <v>9072.6350233938028</v>
      </c>
      <c r="E36" s="604">
        <v>15049.778375211254</v>
      </c>
      <c r="F36" s="814">
        <v>5717.8588701247791</v>
      </c>
      <c r="G36" s="604">
        <v>13290.34082826248</v>
      </c>
      <c r="H36" s="604">
        <v>5704.7097347937197</v>
      </c>
      <c r="I36" s="604">
        <v>18994.954520241321</v>
      </c>
      <c r="J36" s="604">
        <f t="shared" ref="J36" si="10">ROUND(E36,1)-ROUND(I36,1)</f>
        <v>-3945.2000000000007</v>
      </c>
      <c r="K36" s="815"/>
      <c r="L36" s="815"/>
      <c r="M36" s="1115"/>
    </row>
    <row r="37" spans="1:13" ht="14.25" customHeight="1">
      <c r="A37" s="875"/>
      <c r="B37" s="876" t="s">
        <v>420</v>
      </c>
      <c r="C37" s="604">
        <v>5581.5563957780969</v>
      </c>
      <c r="D37" s="604">
        <v>9073.3885242843699</v>
      </c>
      <c r="E37" s="604">
        <v>14655.041104269798</v>
      </c>
      <c r="F37" s="814">
        <v>5721.386504021114</v>
      </c>
      <c r="G37" s="604">
        <v>13762.166244265356</v>
      </c>
      <c r="H37" s="604">
        <v>5099.462492858901</v>
      </c>
      <c r="I37" s="604">
        <v>18861.69132800266</v>
      </c>
      <c r="J37" s="604">
        <f t="shared" ref="J37" si="11">ROUND(E37,1)-ROUND(I37,1)</f>
        <v>-4206.7000000000007</v>
      </c>
      <c r="K37" s="815"/>
      <c r="L37" s="815"/>
      <c r="M37" s="1115"/>
    </row>
    <row r="38" spans="1:13" ht="14.25" customHeight="1">
      <c r="A38" s="875"/>
      <c r="B38" s="876" t="s">
        <v>421</v>
      </c>
      <c r="C38" s="604">
        <v>5441.6242371627159</v>
      </c>
      <c r="D38" s="604">
        <v>9193.5429037568992</v>
      </c>
      <c r="E38" s="604">
        <v>14635.102532279274</v>
      </c>
      <c r="F38" s="814">
        <v>5809.4046762181652</v>
      </c>
      <c r="G38" s="604">
        <v>13270.152685360817</v>
      </c>
      <c r="H38" s="604">
        <v>5380.5551073124952</v>
      </c>
      <c r="I38" s="604">
        <v>18650.755675843237</v>
      </c>
      <c r="J38" s="604">
        <f t="shared" ref="J38" si="12">ROUND(E38,1)-ROUND(I38,1)</f>
        <v>-4015.6999999999989</v>
      </c>
      <c r="K38" s="815"/>
      <c r="L38" s="815"/>
      <c r="M38" s="1115"/>
    </row>
    <row r="39" spans="1:13" ht="14.25" customHeight="1">
      <c r="A39" s="875"/>
      <c r="B39" s="876" t="s">
        <v>422</v>
      </c>
      <c r="C39" s="604">
        <v>5616.9025263060503</v>
      </c>
      <c r="D39" s="604">
        <v>9283.926575676498</v>
      </c>
      <c r="E39" s="604">
        <v>14900.758268898559</v>
      </c>
      <c r="F39" s="814">
        <v>5907.3482160618332</v>
      </c>
      <c r="G39" s="604">
        <v>13435.535747994651</v>
      </c>
      <c r="H39" s="604">
        <v>5181.9997513108028</v>
      </c>
      <c r="I39" s="604">
        <v>18617.481896800105</v>
      </c>
      <c r="J39" s="604">
        <f t="shared" ref="J39" si="13">ROUND(E39,1)-ROUND(I39,1)</f>
        <v>-3716.7000000000007</v>
      </c>
      <c r="K39" s="815"/>
      <c r="L39" s="815"/>
      <c r="M39" s="1115"/>
    </row>
    <row r="40" spans="1:13" ht="14.25" customHeight="1">
      <c r="A40" s="875"/>
      <c r="B40" s="876" t="s">
        <v>423</v>
      </c>
      <c r="C40" s="604">
        <v>4929.6166134010018</v>
      </c>
      <c r="D40" s="604">
        <v>9346.9932099672515</v>
      </c>
      <c r="E40" s="604">
        <v>14276.599021203841</v>
      </c>
      <c r="F40" s="814">
        <v>5977.4471861358652</v>
      </c>
      <c r="G40" s="604">
        <v>13159.85339399734</v>
      </c>
      <c r="H40" s="604">
        <v>5205.9890115296475</v>
      </c>
      <c r="I40" s="604">
        <v>18365.857669689172</v>
      </c>
      <c r="J40" s="604">
        <f t="shared" ref="J40" si="14">ROUND(E40,1)-ROUND(I40,1)</f>
        <v>-4089.3000000000011</v>
      </c>
      <c r="K40" s="815"/>
      <c r="L40" s="815"/>
      <c r="M40" s="1115"/>
    </row>
    <row r="41" spans="1:13" ht="14.25" customHeight="1">
      <c r="A41" s="875"/>
      <c r="B41" s="876" t="s">
        <v>424</v>
      </c>
      <c r="C41" s="604">
        <v>4771.7129417440829</v>
      </c>
      <c r="D41" s="604">
        <v>9277.2167672009564</v>
      </c>
      <c r="E41" s="604">
        <v>14048.855322344096</v>
      </c>
      <c r="F41" s="814">
        <v>5920.1477731527411</v>
      </c>
      <c r="G41" s="604">
        <v>13544.761545366915</v>
      </c>
      <c r="H41" s="604">
        <v>4720.0827477946114</v>
      </c>
      <c r="I41" s="604">
        <v>18264.862428210068</v>
      </c>
      <c r="J41" s="604">
        <f t="shared" ref="J41" si="15">ROUND(E41,1)-ROUND(I41,1)</f>
        <v>-4216.0000000000018</v>
      </c>
      <c r="K41" s="815"/>
      <c r="L41" s="815"/>
      <c r="M41" s="1115"/>
    </row>
    <row r="42" spans="1:13" ht="14.25" customHeight="1">
      <c r="A42" s="875"/>
      <c r="B42" s="876" t="s">
        <v>425</v>
      </c>
      <c r="C42" s="604">
        <v>5086.6439167937624</v>
      </c>
      <c r="D42" s="604">
        <v>9485.0151338415999</v>
      </c>
      <c r="E42" s="604">
        <v>14571.573538491237</v>
      </c>
      <c r="F42" s="814">
        <v>6024.7726553020839</v>
      </c>
      <c r="G42" s="604">
        <v>13916.900463002534</v>
      </c>
      <c r="H42" s="604">
        <v>4798.6136623137681</v>
      </c>
      <c r="I42" s="604">
        <v>18715.500534829796</v>
      </c>
      <c r="J42" s="604">
        <f t="shared" ref="J42" si="16">ROUND(E42,1)-ROUND(I42,1)</f>
        <v>-4143.8999999999996</v>
      </c>
      <c r="K42" s="815"/>
      <c r="L42" s="815"/>
      <c r="M42" s="1115"/>
    </row>
    <row r="43" spans="1:13" ht="14.25" customHeight="1">
      <c r="A43" s="875"/>
      <c r="B43" s="876" t="s">
        <v>426</v>
      </c>
      <c r="C43" s="604">
        <v>5487.9260734431728</v>
      </c>
      <c r="D43" s="604">
        <v>9358.6194223316816</v>
      </c>
      <c r="E43" s="604">
        <v>14846.494816834533</v>
      </c>
      <c r="F43" s="814">
        <v>6003.6107097827135</v>
      </c>
      <c r="G43" s="604">
        <v>13960.032754026735</v>
      </c>
      <c r="H43" s="604">
        <v>5110.1741471447785</v>
      </c>
      <c r="I43" s="604">
        <v>19070.236476899641</v>
      </c>
      <c r="J43" s="604">
        <f t="shared" ref="J43" si="17">ROUND(E43,1)-ROUND(I43,1)</f>
        <v>-4223.7000000000007</v>
      </c>
      <c r="K43" s="815"/>
      <c r="L43" s="815"/>
      <c r="M43" s="1115"/>
    </row>
    <row r="44" spans="1:13" s="323" customFormat="1" ht="21.2" customHeight="1">
      <c r="A44" s="279"/>
      <c r="B44" s="346"/>
      <c r="C44" s="346"/>
      <c r="D44" s="346"/>
      <c r="E44" s="346"/>
      <c r="F44" s="346"/>
      <c r="G44" s="346"/>
      <c r="H44" s="346"/>
      <c r="I44" s="347"/>
      <c r="J44" s="1405"/>
    </row>
    <row r="45" spans="1:13" ht="14.25">
      <c r="A45" s="355"/>
      <c r="B45" s="321"/>
      <c r="C45" s="321"/>
      <c r="D45" s="321"/>
      <c r="E45" s="321"/>
      <c r="F45" s="321"/>
      <c r="G45" s="321"/>
      <c r="J45" s="1930"/>
    </row>
    <row r="46" spans="1:13">
      <c r="G46" s="1931"/>
    </row>
    <row r="47" spans="1:13">
      <c r="A47" s="349" t="s">
        <v>820</v>
      </c>
      <c r="B47" s="382"/>
      <c r="C47" s="382"/>
      <c r="D47" s="382"/>
      <c r="E47" s="382"/>
      <c r="F47" s="382"/>
      <c r="G47" s="382"/>
      <c r="H47" s="382"/>
      <c r="I47" s="382"/>
      <c r="J47" s="382"/>
    </row>
    <row r="48" spans="1:13">
      <c r="C48" s="1853"/>
      <c r="D48" s="1853"/>
      <c r="E48" s="1853"/>
      <c r="F48" s="1853"/>
      <c r="G48" s="1853"/>
      <c r="H48" s="1853"/>
      <c r="I48" s="1853"/>
      <c r="J48" s="1853"/>
    </row>
    <row r="49" spans="1:10">
      <c r="C49" s="1853"/>
      <c r="D49" s="1853"/>
      <c r="E49" s="1853"/>
      <c r="F49" s="1853"/>
      <c r="G49" s="1853"/>
      <c r="H49" s="1853"/>
      <c r="I49" s="1853"/>
      <c r="J49" s="1853"/>
    </row>
    <row r="51" spans="1:10">
      <c r="C51" s="382"/>
    </row>
    <row r="53" spans="1:10">
      <c r="A53" s="350"/>
    </row>
    <row r="54" spans="1:10">
      <c r="C54" s="351"/>
    </row>
  </sheetData>
  <phoneticPr fontId="0" type="noConversion"/>
  <printOptions horizontalCentered="1" verticalCentered="1"/>
  <pageMargins left="0" right="0" top="0" bottom="0" header="0.511811023622047" footer="0.511811023622047"/>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zoomScale="70" zoomScaleNormal="70" workbookViewId="0">
      <selection activeCell="B5" sqref="B5:H5"/>
    </sheetView>
  </sheetViews>
  <sheetFormatPr defaultColWidth="12.5703125" defaultRowHeight="15"/>
  <cols>
    <col min="1" max="1" width="34.5703125" style="2073" customWidth="1"/>
    <col min="2" max="2" width="18.28515625" style="2092" customWidth="1"/>
    <col min="3" max="3" width="17.42578125" style="2092" customWidth="1"/>
    <col min="4" max="4" width="62.42578125" style="2093" customWidth="1"/>
    <col min="5" max="5" width="16.28515625" style="2054" bestFit="1" customWidth="1"/>
    <col min="6" max="7" width="12.5703125" style="2054"/>
    <col min="8" max="8" width="25.28515625" style="2054" customWidth="1"/>
    <col min="9" max="16384" width="12.5703125" style="2054"/>
  </cols>
  <sheetData>
    <row r="1" spans="1:8" ht="18">
      <c r="A1" s="2053" t="s">
        <v>119</v>
      </c>
      <c r="B1" s="2053"/>
      <c r="C1" s="2053"/>
      <c r="D1" s="2053"/>
      <c r="E1" s="2053"/>
      <c r="F1" s="2053"/>
      <c r="G1" s="2053"/>
      <c r="H1" s="2053"/>
    </row>
    <row r="2" spans="1:8" ht="24" customHeight="1">
      <c r="A2" s="2055" t="s">
        <v>120</v>
      </c>
      <c r="B2" s="2056"/>
      <c r="C2" s="2056"/>
      <c r="D2" s="2056"/>
      <c r="E2" s="2056"/>
      <c r="F2" s="2056"/>
      <c r="G2" s="2056"/>
      <c r="H2" s="2057"/>
    </row>
    <row r="3" spans="1:8" ht="27" customHeight="1">
      <c r="A3" s="2058" t="s">
        <v>121</v>
      </c>
      <c r="B3" s="2058"/>
      <c r="C3" s="2058"/>
      <c r="D3" s="2058"/>
      <c r="E3" s="2058"/>
      <c r="F3" s="2058"/>
      <c r="G3" s="2058"/>
      <c r="H3" s="2058"/>
    </row>
    <row r="4" spans="1:8" ht="42" customHeight="1">
      <c r="A4" s="2059" t="s">
        <v>122</v>
      </c>
      <c r="B4" s="1238" t="s">
        <v>123</v>
      </c>
      <c r="C4" s="1238"/>
      <c r="D4" s="1238"/>
      <c r="E4" s="1238"/>
      <c r="F4" s="1238"/>
      <c r="G4" s="1238"/>
      <c r="H4" s="1238"/>
    </row>
    <row r="5" spans="1:8" ht="45" customHeight="1">
      <c r="A5" s="2060" t="s">
        <v>124</v>
      </c>
      <c r="B5" s="1238" t="s">
        <v>125</v>
      </c>
      <c r="C5" s="1238"/>
      <c r="D5" s="1238"/>
      <c r="E5" s="1238"/>
      <c r="F5" s="1238"/>
      <c r="G5" s="1238"/>
      <c r="H5" s="1238"/>
    </row>
    <row r="6" spans="1:8" ht="33" customHeight="1">
      <c r="A6" s="2059" t="s">
        <v>126</v>
      </c>
      <c r="B6" s="1238" t="s">
        <v>127</v>
      </c>
      <c r="C6" s="1238"/>
      <c r="D6" s="1238"/>
      <c r="E6" s="1238"/>
      <c r="F6" s="1238"/>
      <c r="G6" s="1238"/>
      <c r="H6" s="1238"/>
    </row>
    <row r="7" spans="1:8" ht="42.75" customHeight="1">
      <c r="A7" s="2059" t="s">
        <v>128</v>
      </c>
      <c r="B7" s="1238" t="s">
        <v>129</v>
      </c>
      <c r="C7" s="1238"/>
      <c r="D7" s="1238"/>
      <c r="E7" s="1238"/>
      <c r="F7" s="1238"/>
      <c r="G7" s="1238"/>
      <c r="H7" s="1238"/>
    </row>
    <row r="8" spans="1:8" ht="58.15" customHeight="1">
      <c r="A8" s="2059" t="s">
        <v>130</v>
      </c>
      <c r="B8" s="2061" t="s">
        <v>131</v>
      </c>
      <c r="C8" s="2062"/>
      <c r="D8" s="2062"/>
      <c r="E8" s="2062"/>
      <c r="F8" s="2062"/>
      <c r="G8" s="2062"/>
      <c r="H8" s="2063"/>
    </row>
    <row r="9" spans="1:8" ht="21.75" customHeight="1">
      <c r="A9" s="2059" t="s">
        <v>132</v>
      </c>
      <c r="B9" s="1238" t="s">
        <v>133</v>
      </c>
      <c r="C9" s="1238"/>
      <c r="D9" s="1238"/>
      <c r="E9" s="1238"/>
      <c r="F9" s="1238"/>
      <c r="G9" s="1238"/>
      <c r="H9" s="1238"/>
    </row>
    <row r="10" spans="1:8" ht="165" customHeight="1">
      <c r="A10" s="2059" t="s">
        <v>134</v>
      </c>
      <c r="B10" s="2061" t="s">
        <v>135</v>
      </c>
      <c r="C10" s="2062"/>
      <c r="D10" s="2062"/>
      <c r="E10" s="2062"/>
      <c r="F10" s="2062"/>
      <c r="G10" s="2062"/>
      <c r="H10" s="2063"/>
    </row>
    <row r="11" spans="1:8" ht="51.75" customHeight="1">
      <c r="A11" s="2059" t="s">
        <v>136</v>
      </c>
      <c r="B11" s="1238" t="s">
        <v>137</v>
      </c>
      <c r="C11" s="1238"/>
      <c r="D11" s="1238"/>
      <c r="E11" s="1238"/>
      <c r="F11" s="1238"/>
      <c r="G11" s="1238"/>
      <c r="H11" s="1238"/>
    </row>
    <row r="12" spans="1:8" ht="27.6" customHeight="1">
      <c r="A12" s="2059" t="s">
        <v>138</v>
      </c>
      <c r="B12" s="1238" t="s">
        <v>139</v>
      </c>
      <c r="C12" s="1238"/>
      <c r="D12" s="1238"/>
      <c r="E12" s="1238"/>
      <c r="F12" s="1238"/>
      <c r="G12" s="1238"/>
      <c r="H12" s="1238"/>
    </row>
    <row r="13" spans="1:8" ht="34.5" customHeight="1">
      <c r="A13" s="2064" t="s">
        <v>140</v>
      </c>
      <c r="B13" s="2064"/>
      <c r="C13" s="2064"/>
      <c r="D13" s="2064"/>
      <c r="E13" s="2064"/>
      <c r="F13" s="2064"/>
      <c r="G13" s="2064"/>
      <c r="H13" s="2064"/>
    </row>
    <row r="14" spans="1:8" ht="24.75" customHeight="1">
      <c r="A14" s="2065" t="s">
        <v>141</v>
      </c>
      <c r="B14" s="2065"/>
      <c r="C14" s="2065"/>
      <c r="D14" s="2065"/>
      <c r="E14" s="2065"/>
      <c r="F14" s="2065"/>
      <c r="G14" s="2065"/>
      <c r="H14" s="2065"/>
    </row>
    <row r="15" spans="1:8" ht="20.45" customHeight="1">
      <c r="A15" s="2066" t="s">
        <v>142</v>
      </c>
      <c r="B15" s="2067" t="s">
        <v>143</v>
      </c>
      <c r="C15" s="2067"/>
      <c r="D15" s="2067"/>
      <c r="E15" s="2066" t="s">
        <v>144</v>
      </c>
      <c r="F15" s="2066" t="s">
        <v>145</v>
      </c>
      <c r="G15" s="2066" t="s">
        <v>6</v>
      </c>
      <c r="H15" s="2066" t="s">
        <v>146</v>
      </c>
    </row>
    <row r="16" spans="1:8" ht="130.5" customHeight="1">
      <c r="A16" s="2068" t="s">
        <v>8</v>
      </c>
      <c r="B16" s="2069" t="s">
        <v>147</v>
      </c>
      <c r="C16" s="2069"/>
      <c r="D16" s="2069"/>
      <c r="E16" s="2070" t="s">
        <v>148</v>
      </c>
      <c r="F16" s="2070">
        <v>3</v>
      </c>
      <c r="G16" s="2070" t="s">
        <v>149</v>
      </c>
      <c r="H16" s="2070" t="s">
        <v>150</v>
      </c>
    </row>
    <row r="17" spans="1:9" ht="57.75" customHeight="1">
      <c r="A17" s="2068" t="s">
        <v>10</v>
      </c>
      <c r="B17" s="2071" t="s">
        <v>151</v>
      </c>
      <c r="C17" s="2071"/>
      <c r="D17" s="2071"/>
      <c r="E17" s="2070" t="s">
        <v>148</v>
      </c>
      <c r="F17" s="2070">
        <v>4</v>
      </c>
      <c r="G17" s="2070" t="s">
        <v>149</v>
      </c>
      <c r="H17" s="2070" t="s">
        <v>150</v>
      </c>
    </row>
    <row r="18" spans="1:9" ht="44.25" customHeight="1">
      <c r="A18" s="2068" t="s">
        <v>152</v>
      </c>
      <c r="B18" s="2071" t="s">
        <v>153</v>
      </c>
      <c r="C18" s="2071"/>
      <c r="D18" s="2071"/>
      <c r="E18" s="2070" t="s">
        <v>148</v>
      </c>
      <c r="F18" s="2072" t="s">
        <v>154</v>
      </c>
      <c r="G18" s="2070" t="s">
        <v>155</v>
      </c>
      <c r="H18" s="2070" t="s">
        <v>156</v>
      </c>
      <c r="I18" s="2073"/>
    </row>
    <row r="19" spans="1:9" ht="44.25" customHeight="1">
      <c r="A19" s="2068" t="s">
        <v>157</v>
      </c>
      <c r="B19" s="2071" t="s">
        <v>158</v>
      </c>
      <c r="C19" s="2071"/>
      <c r="D19" s="2071"/>
      <c r="E19" s="2070" t="s">
        <v>148</v>
      </c>
      <c r="F19" s="2072" t="s">
        <v>159</v>
      </c>
      <c r="G19" s="2070" t="s">
        <v>155</v>
      </c>
      <c r="H19" s="2070" t="s">
        <v>156</v>
      </c>
      <c r="I19" s="2073"/>
    </row>
    <row r="20" spans="1:9" ht="111.6" customHeight="1">
      <c r="A20" s="2068" t="s">
        <v>26</v>
      </c>
      <c r="B20" s="2071" t="s">
        <v>160</v>
      </c>
      <c r="C20" s="2071"/>
      <c r="D20" s="2071"/>
      <c r="E20" s="2070" t="s">
        <v>148</v>
      </c>
      <c r="F20" s="2072" t="s">
        <v>161</v>
      </c>
      <c r="G20" s="2070" t="s">
        <v>149</v>
      </c>
      <c r="H20" s="2070" t="s">
        <v>150</v>
      </c>
    </row>
    <row r="21" spans="1:9" ht="25.5" customHeight="1">
      <c r="A21" s="2065" t="s">
        <v>0</v>
      </c>
      <c r="B21" s="2065"/>
      <c r="C21" s="2065"/>
      <c r="D21" s="2065"/>
      <c r="E21" s="2065"/>
      <c r="F21" s="2065"/>
      <c r="G21" s="2065"/>
      <c r="H21" s="2065"/>
    </row>
    <row r="22" spans="1:9" ht="20.45" customHeight="1">
      <c r="A22" s="2066" t="s">
        <v>142</v>
      </c>
      <c r="B22" s="2067" t="s">
        <v>143</v>
      </c>
      <c r="C22" s="2067"/>
      <c r="D22" s="2067"/>
      <c r="E22" s="1350" t="s">
        <v>144</v>
      </c>
      <c r="F22" s="2066" t="s">
        <v>145</v>
      </c>
      <c r="G22" s="2066" t="s">
        <v>6</v>
      </c>
      <c r="H22" s="2066" t="s">
        <v>146</v>
      </c>
    </row>
    <row r="23" spans="1:9" ht="127.5" customHeight="1">
      <c r="A23" s="1235" t="s">
        <v>162</v>
      </c>
      <c r="B23" s="1239" t="s">
        <v>163</v>
      </c>
      <c r="C23" s="1239"/>
      <c r="D23" s="1239"/>
      <c r="E23" s="2070" t="s">
        <v>148</v>
      </c>
      <c r="F23" s="2074">
        <v>1</v>
      </c>
      <c r="G23" s="2070" t="s">
        <v>149</v>
      </c>
      <c r="H23" s="2070" t="s">
        <v>150</v>
      </c>
    </row>
    <row r="24" spans="1:9" ht="101.25" customHeight="1">
      <c r="A24" s="2068" t="s">
        <v>164</v>
      </c>
      <c r="B24" s="2071" t="s">
        <v>165</v>
      </c>
      <c r="C24" s="2071"/>
      <c r="D24" s="2071"/>
      <c r="E24" s="2070" t="s">
        <v>148</v>
      </c>
      <c r="F24" s="2070">
        <v>13</v>
      </c>
      <c r="G24" s="2070" t="s">
        <v>166</v>
      </c>
      <c r="H24" s="2070" t="s">
        <v>150</v>
      </c>
    </row>
    <row r="25" spans="1:9" ht="103.5" customHeight="1">
      <c r="A25" s="2068" t="s">
        <v>167</v>
      </c>
      <c r="B25" s="2069" t="s">
        <v>168</v>
      </c>
      <c r="C25" s="2069"/>
      <c r="D25" s="2069"/>
      <c r="E25" s="2070" t="s">
        <v>148</v>
      </c>
      <c r="F25" s="2072" t="s">
        <v>169</v>
      </c>
      <c r="G25" s="2070" t="s">
        <v>149</v>
      </c>
      <c r="H25" s="2070" t="s">
        <v>150</v>
      </c>
    </row>
    <row r="26" spans="1:9" ht="60.6" customHeight="1">
      <c r="A26" s="2068" t="s">
        <v>170</v>
      </c>
      <c r="B26" s="2069" t="s">
        <v>171</v>
      </c>
      <c r="C26" s="2069"/>
      <c r="D26" s="2069"/>
      <c r="E26" s="2070" t="s">
        <v>148</v>
      </c>
      <c r="F26" s="2072" t="s">
        <v>172</v>
      </c>
      <c r="G26" s="2070" t="s">
        <v>166</v>
      </c>
      <c r="H26" s="2070" t="s">
        <v>150</v>
      </c>
    </row>
    <row r="27" spans="1:9" ht="90.75" customHeight="1">
      <c r="A27" s="2068" t="s">
        <v>173</v>
      </c>
      <c r="B27" s="2069" t="s">
        <v>174</v>
      </c>
      <c r="C27" s="2069"/>
      <c r="D27" s="2069"/>
      <c r="E27" s="2070" t="s">
        <v>148</v>
      </c>
      <c r="F27" s="2072" t="s">
        <v>175</v>
      </c>
      <c r="G27" s="2070" t="s">
        <v>166</v>
      </c>
      <c r="H27" s="2070" t="s">
        <v>150</v>
      </c>
    </row>
    <row r="28" spans="1:9" ht="61.5" customHeight="1">
      <c r="A28" s="2068" t="s">
        <v>73</v>
      </c>
      <c r="B28" s="2069" t="s">
        <v>176</v>
      </c>
      <c r="C28" s="2069"/>
      <c r="D28" s="2069"/>
      <c r="E28" s="2070" t="s">
        <v>177</v>
      </c>
      <c r="F28" s="2072" t="s">
        <v>178</v>
      </c>
      <c r="G28" s="2070" t="s">
        <v>149</v>
      </c>
      <c r="H28" s="2070" t="s">
        <v>150</v>
      </c>
    </row>
    <row r="29" spans="1:9" ht="57" customHeight="1">
      <c r="A29" s="2068" t="s">
        <v>179</v>
      </c>
      <c r="B29" s="2069" t="s">
        <v>180</v>
      </c>
      <c r="C29" s="2069"/>
      <c r="D29" s="2069"/>
      <c r="E29" s="2070" t="s">
        <v>177</v>
      </c>
      <c r="F29" s="2072" t="s">
        <v>181</v>
      </c>
      <c r="G29" s="2070" t="s">
        <v>149</v>
      </c>
      <c r="H29" s="2070" t="s">
        <v>182</v>
      </c>
    </row>
    <row r="30" spans="1:9" ht="141" customHeight="1">
      <c r="A30" s="2068" t="s">
        <v>77</v>
      </c>
      <c r="B30" s="2071" t="s">
        <v>183</v>
      </c>
      <c r="C30" s="2071"/>
      <c r="D30" s="2071"/>
      <c r="E30" s="2070" t="s">
        <v>148</v>
      </c>
      <c r="F30" s="2072" t="s">
        <v>184</v>
      </c>
      <c r="G30" s="2070" t="s">
        <v>149</v>
      </c>
      <c r="H30" s="2070" t="s">
        <v>150</v>
      </c>
    </row>
    <row r="31" spans="1:9" ht="73.5" customHeight="1">
      <c r="A31" s="2068" t="s">
        <v>81</v>
      </c>
      <c r="B31" s="2071" t="s">
        <v>185</v>
      </c>
      <c r="C31" s="2071"/>
      <c r="D31" s="2071"/>
      <c r="E31" s="2070" t="s">
        <v>148</v>
      </c>
      <c r="F31" s="2075" t="s">
        <v>186</v>
      </c>
      <c r="G31" s="2070" t="s">
        <v>149</v>
      </c>
      <c r="H31" s="2070" t="s">
        <v>150</v>
      </c>
    </row>
    <row r="32" spans="1:9" ht="28.5" customHeight="1">
      <c r="A32" s="2065" t="s">
        <v>187</v>
      </c>
      <c r="B32" s="2065"/>
      <c r="C32" s="2065"/>
      <c r="D32" s="2065"/>
      <c r="E32" s="2065"/>
      <c r="F32" s="2065"/>
      <c r="G32" s="2065"/>
      <c r="H32" s="2065"/>
    </row>
    <row r="33" spans="1:8" ht="20.45" customHeight="1">
      <c r="A33" s="2066" t="s">
        <v>142</v>
      </c>
      <c r="B33" s="2067" t="s">
        <v>143</v>
      </c>
      <c r="C33" s="2067"/>
      <c r="D33" s="2067"/>
      <c r="E33" s="2066" t="s">
        <v>144</v>
      </c>
      <c r="F33" s="2066" t="s">
        <v>145</v>
      </c>
      <c r="G33" s="2066" t="s">
        <v>6</v>
      </c>
      <c r="H33" s="2066" t="s">
        <v>146</v>
      </c>
    </row>
    <row r="34" spans="1:8" ht="45.75" customHeight="1">
      <c r="A34" s="2076" t="s">
        <v>97</v>
      </c>
      <c r="B34" s="2077" t="s">
        <v>188</v>
      </c>
      <c r="C34" s="2077"/>
      <c r="D34" s="2077"/>
      <c r="E34" s="2075" t="s">
        <v>189</v>
      </c>
      <c r="F34" s="2078" t="s">
        <v>190</v>
      </c>
      <c r="G34" s="2075" t="s">
        <v>155</v>
      </c>
      <c r="H34" s="2079" t="s">
        <v>191</v>
      </c>
    </row>
    <row r="35" spans="1:8" ht="43.5" customHeight="1">
      <c r="A35" s="2076" t="s">
        <v>99</v>
      </c>
      <c r="B35" s="2080" t="s">
        <v>192</v>
      </c>
      <c r="C35" s="2081"/>
      <c r="D35" s="2082"/>
      <c r="E35" s="2075" t="s">
        <v>189</v>
      </c>
      <c r="F35" s="2078" t="s">
        <v>193</v>
      </c>
      <c r="G35" s="2075" t="s">
        <v>155</v>
      </c>
      <c r="H35" s="2079" t="s">
        <v>191</v>
      </c>
    </row>
    <row r="36" spans="1:8" ht="319.5" customHeight="1">
      <c r="A36" s="2068" t="s">
        <v>101</v>
      </c>
      <c r="B36" s="2083" t="s">
        <v>1794</v>
      </c>
      <c r="C36" s="2084"/>
      <c r="D36" s="2084"/>
      <c r="E36" s="2070" t="s">
        <v>177</v>
      </c>
      <c r="F36" s="2075">
        <v>53</v>
      </c>
      <c r="G36" s="2070" t="s">
        <v>149</v>
      </c>
      <c r="H36" s="2070" t="s">
        <v>150</v>
      </c>
    </row>
    <row r="37" spans="1:8" ht="41.25" customHeight="1">
      <c r="A37" s="2068" t="s">
        <v>103</v>
      </c>
      <c r="B37" s="2069" t="s">
        <v>194</v>
      </c>
      <c r="C37" s="2069"/>
      <c r="D37" s="2069"/>
      <c r="E37" s="2070" t="s">
        <v>177</v>
      </c>
      <c r="F37" s="2072" t="s">
        <v>195</v>
      </c>
      <c r="G37" s="2070" t="s">
        <v>149</v>
      </c>
      <c r="H37" s="2070" t="s">
        <v>150</v>
      </c>
    </row>
    <row r="38" spans="1:8" ht="41.25" customHeight="1">
      <c r="A38" s="2068" t="s">
        <v>105</v>
      </c>
      <c r="B38" s="2069" t="s">
        <v>196</v>
      </c>
      <c r="C38" s="2069"/>
      <c r="D38" s="2069"/>
      <c r="E38" s="2070" t="s">
        <v>148</v>
      </c>
      <c r="F38" s="2072" t="s">
        <v>197</v>
      </c>
      <c r="G38" s="2070" t="s">
        <v>149</v>
      </c>
      <c r="H38" s="2070" t="s">
        <v>150</v>
      </c>
    </row>
    <row r="39" spans="1:8" ht="105" customHeight="1">
      <c r="A39" s="2068" t="s">
        <v>198</v>
      </c>
      <c r="B39" s="2069" t="s">
        <v>199</v>
      </c>
      <c r="C39" s="2069"/>
      <c r="D39" s="2069"/>
      <c r="E39" s="2074" t="s">
        <v>200</v>
      </c>
      <c r="F39" s="2072" t="s">
        <v>201</v>
      </c>
      <c r="G39" s="2070" t="s">
        <v>149</v>
      </c>
      <c r="H39" s="2070" t="s">
        <v>182</v>
      </c>
    </row>
    <row r="40" spans="1:8" ht="48.75" customHeight="1">
      <c r="A40" s="2068" t="s">
        <v>202</v>
      </c>
      <c r="B40" s="2069" t="s">
        <v>203</v>
      </c>
      <c r="C40" s="2069"/>
      <c r="D40" s="2069"/>
      <c r="E40" s="2070" t="s">
        <v>177</v>
      </c>
      <c r="F40" s="2070">
        <v>60</v>
      </c>
      <c r="G40" s="2070" t="s">
        <v>166</v>
      </c>
      <c r="H40" s="2070" t="s">
        <v>182</v>
      </c>
    </row>
    <row r="41" spans="1:8" ht="27.75" customHeight="1">
      <c r="A41" s="2085" t="s">
        <v>204</v>
      </c>
      <c r="B41" s="2085"/>
      <c r="C41" s="2085"/>
      <c r="D41" s="2085"/>
      <c r="E41" s="2085"/>
      <c r="F41" s="2085"/>
      <c r="G41" s="2085"/>
      <c r="H41" s="2085"/>
    </row>
    <row r="42" spans="1:8" ht="208.15" customHeight="1">
      <c r="A42" s="1235" t="s">
        <v>66</v>
      </c>
      <c r="B42" s="1239" t="s">
        <v>205</v>
      </c>
      <c r="C42" s="1239"/>
      <c r="D42" s="1239"/>
      <c r="E42" s="2074" t="s">
        <v>177</v>
      </c>
      <c r="F42" s="2074" t="s">
        <v>206</v>
      </c>
      <c r="G42" s="2074" t="s">
        <v>155</v>
      </c>
      <c r="H42" s="2074" t="s">
        <v>207</v>
      </c>
    </row>
    <row r="43" spans="1:8" ht="24.6" customHeight="1">
      <c r="A43" s="2058" t="s">
        <v>208</v>
      </c>
      <c r="B43" s="2058"/>
      <c r="C43" s="2058"/>
      <c r="D43" s="2058"/>
      <c r="E43" s="2058"/>
      <c r="F43" s="2058"/>
      <c r="G43" s="2058"/>
      <c r="H43" s="2058"/>
    </row>
    <row r="44" spans="1:8" ht="31.5" customHeight="1">
      <c r="A44" s="2086" t="s">
        <v>144</v>
      </c>
      <c r="B44" s="1238" t="s">
        <v>209</v>
      </c>
      <c r="C44" s="1238"/>
      <c r="D44" s="1238"/>
      <c r="E44" s="1238"/>
      <c r="F44" s="1238"/>
      <c r="G44" s="1238"/>
      <c r="H44" s="1238"/>
    </row>
    <row r="45" spans="1:8" ht="28.5" customHeight="1">
      <c r="A45" s="2087"/>
      <c r="B45" s="1238" t="s">
        <v>210</v>
      </c>
      <c r="C45" s="1238"/>
      <c r="D45" s="1238"/>
      <c r="E45" s="1238"/>
      <c r="F45" s="1238"/>
      <c r="G45" s="1238"/>
      <c r="H45" s="1238"/>
    </row>
    <row r="46" spans="1:8" ht="18" customHeight="1">
      <c r="A46" s="2086" t="s">
        <v>211</v>
      </c>
      <c r="B46" s="1238" t="s">
        <v>212</v>
      </c>
      <c r="C46" s="1238"/>
      <c r="D46" s="1238"/>
      <c r="E46" s="1238"/>
      <c r="F46" s="1238"/>
      <c r="G46" s="1238"/>
      <c r="H46" s="1238"/>
    </row>
    <row r="47" spans="1:8" ht="18" customHeight="1">
      <c r="A47" s="2087"/>
      <c r="B47" s="1238" t="s">
        <v>213</v>
      </c>
      <c r="C47" s="1238"/>
      <c r="D47" s="1238"/>
      <c r="E47" s="1238"/>
      <c r="F47" s="1238"/>
      <c r="G47" s="1238"/>
      <c r="H47" s="1238"/>
    </row>
    <row r="48" spans="1:8" ht="18" customHeight="1">
      <c r="A48" s="2088" t="s">
        <v>214</v>
      </c>
      <c r="B48" s="1238" t="s">
        <v>215</v>
      </c>
      <c r="C48" s="1238"/>
      <c r="D48" s="1238"/>
      <c r="E48" s="1238"/>
      <c r="F48" s="1238"/>
      <c r="G48" s="1238"/>
      <c r="H48" s="1238"/>
    </row>
    <row r="49" spans="1:8" ht="76.5" customHeight="1">
      <c r="A49" s="2059" t="s">
        <v>216</v>
      </c>
      <c r="B49" s="1238" t="s">
        <v>217</v>
      </c>
      <c r="C49" s="1238"/>
      <c r="D49" s="1238"/>
      <c r="E49" s="1238"/>
      <c r="F49" s="1238"/>
      <c r="G49" s="1238"/>
      <c r="H49" s="1238"/>
    </row>
    <row r="50" spans="1:8" ht="28.5" customHeight="1">
      <c r="A50" s="2058" t="s">
        <v>218</v>
      </c>
      <c r="B50" s="2058"/>
      <c r="C50" s="2058"/>
      <c r="D50" s="2058"/>
      <c r="E50" s="2058"/>
      <c r="F50" s="2058"/>
      <c r="G50" s="2058"/>
      <c r="H50" s="2058"/>
    </row>
    <row r="51" spans="1:8" ht="101.25" customHeight="1">
      <c r="A51" s="2060" t="s">
        <v>219</v>
      </c>
      <c r="B51" s="1238" t="s">
        <v>220</v>
      </c>
      <c r="C51" s="1238"/>
      <c r="D51" s="1238"/>
      <c r="E51" s="1238"/>
      <c r="F51" s="1238"/>
      <c r="G51" s="1238"/>
      <c r="H51" s="1238"/>
    </row>
    <row r="52" spans="1:8" ht="50.45" customHeight="1">
      <c r="A52" s="2060" t="s">
        <v>221</v>
      </c>
      <c r="B52" s="1238" t="s">
        <v>222</v>
      </c>
      <c r="C52" s="1238"/>
      <c r="D52" s="1238"/>
      <c r="E52" s="1238"/>
      <c r="F52" s="1238"/>
      <c r="G52" s="1238"/>
      <c r="H52" s="1238"/>
    </row>
    <row r="53" spans="1:8" ht="43.9" customHeight="1">
      <c r="A53" s="2060" t="s">
        <v>223</v>
      </c>
      <c r="B53" s="1238" t="s">
        <v>224</v>
      </c>
      <c r="C53" s="1238"/>
      <c r="D53" s="1238"/>
      <c r="E53" s="1238"/>
      <c r="F53" s="1238"/>
      <c r="G53" s="1238"/>
      <c r="H53" s="1238"/>
    </row>
    <row r="54" spans="1:8" ht="42.6" customHeight="1">
      <c r="A54" s="2059" t="s">
        <v>225</v>
      </c>
      <c r="B54" s="1238" t="s">
        <v>226</v>
      </c>
      <c r="C54" s="1238"/>
      <c r="D54" s="1238"/>
      <c r="E54" s="1238"/>
      <c r="F54" s="1238"/>
      <c r="G54" s="1238"/>
      <c r="H54" s="1238"/>
    </row>
    <row r="55" spans="1:8" ht="54.6" customHeight="1">
      <c r="A55" s="2060" t="s">
        <v>227</v>
      </c>
      <c r="B55" s="1238" t="s">
        <v>228</v>
      </c>
      <c r="C55" s="1238"/>
      <c r="D55" s="1238"/>
      <c r="E55" s="1238"/>
      <c r="F55" s="1238"/>
      <c r="G55" s="1238"/>
      <c r="H55" s="1238"/>
    </row>
    <row r="56" spans="1:8" ht="41.45" customHeight="1">
      <c r="A56" s="2089" t="s">
        <v>229</v>
      </c>
      <c r="B56" s="2090" t="s">
        <v>230</v>
      </c>
      <c r="C56" s="2090"/>
      <c r="D56" s="2090"/>
      <c r="E56" s="2090"/>
      <c r="F56" s="2090"/>
      <c r="G56" s="2090"/>
      <c r="H56" s="2090"/>
    </row>
    <row r="57" spans="1:8" ht="15.75" customHeight="1">
      <c r="A57" s="2089" t="s">
        <v>231</v>
      </c>
      <c r="B57" s="2091" t="s">
        <v>232</v>
      </c>
      <c r="C57" s="2091"/>
      <c r="D57" s="2091"/>
      <c r="E57" s="2091"/>
      <c r="F57" s="2091"/>
      <c r="G57" s="2091"/>
      <c r="H57" s="2091"/>
    </row>
  </sheetData>
  <mergeCells count="59">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 ref="B45:H45"/>
    <mergeCell ref="A46:A47"/>
    <mergeCell ref="B46:H46"/>
    <mergeCell ref="B47:H47"/>
    <mergeCell ref="B34:D34"/>
    <mergeCell ref="B36:D36"/>
    <mergeCell ref="B38:D38"/>
    <mergeCell ref="B39:D39"/>
    <mergeCell ref="B40:D40"/>
    <mergeCell ref="A41:H41"/>
    <mergeCell ref="B35:D35"/>
    <mergeCell ref="B37:D37"/>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B12" sqref="B12"/>
      <selection pane="bottomLeft" activeCell="J47" sqref="J47"/>
    </sheetView>
  </sheetViews>
  <sheetFormatPr defaultRowHeight="12.75"/>
  <cols>
    <col min="1" max="2" width="9.28515625" style="25" customWidth="1"/>
    <col min="3" max="6" width="12.7109375" style="25" customWidth="1"/>
    <col min="7" max="7" width="12.5703125" style="25" customWidth="1"/>
    <col min="8" max="11" width="12.7109375" style="25" customWidth="1"/>
    <col min="12" max="12" width="13.28515625" style="25" customWidth="1"/>
    <col min="13" max="14" width="12.7109375" style="25" customWidth="1"/>
    <col min="15" max="16384" width="9.140625" style="25"/>
  </cols>
  <sheetData>
    <row r="1" spans="1:16" ht="18" customHeight="1">
      <c r="A1" s="16" t="s">
        <v>1775</v>
      </c>
      <c r="B1" s="4"/>
      <c r="C1" s="3"/>
      <c r="D1" s="3"/>
      <c r="E1" s="3"/>
      <c r="F1" s="3"/>
      <c r="G1" s="3"/>
      <c r="H1" s="3"/>
      <c r="I1" s="3"/>
      <c r="J1" s="3"/>
      <c r="K1" s="3"/>
      <c r="L1" s="3"/>
      <c r="M1" s="3"/>
      <c r="N1" s="3"/>
    </row>
    <row r="2" spans="1:16" ht="18" customHeight="1">
      <c r="A2" s="898" t="s">
        <v>770</v>
      </c>
      <c r="B2" s="4"/>
      <c r="C2" s="3"/>
      <c r="D2" s="3"/>
      <c r="E2" s="3"/>
      <c r="F2" s="3"/>
      <c r="G2" s="3"/>
      <c r="H2" s="3"/>
      <c r="I2" s="3"/>
      <c r="J2" s="3"/>
      <c r="K2" s="3"/>
      <c r="L2" s="3"/>
      <c r="M2" s="3"/>
      <c r="N2" s="3"/>
    </row>
    <row r="3" spans="1:16" ht="18" customHeight="1">
      <c r="A3" s="16" t="s">
        <v>771</v>
      </c>
      <c r="B3" s="1"/>
      <c r="C3" s="1"/>
      <c r="D3" s="1"/>
      <c r="E3" s="1"/>
      <c r="F3" s="1"/>
      <c r="G3" s="1"/>
      <c r="H3" s="1"/>
      <c r="I3" s="1"/>
      <c r="J3" s="1"/>
      <c r="K3" s="1"/>
      <c r="L3" s="1"/>
      <c r="M3" s="7"/>
      <c r="N3" s="1904"/>
    </row>
    <row r="4" spans="1:16" ht="18" customHeight="1">
      <c r="A4" s="898" t="s">
        <v>39</v>
      </c>
      <c r="B4" s="4"/>
      <c r="C4" s="3"/>
      <c r="D4" s="3"/>
      <c r="E4" s="3"/>
      <c r="F4" s="3"/>
      <c r="G4" s="3"/>
      <c r="H4" s="3"/>
      <c r="I4" s="3"/>
      <c r="J4" s="3"/>
      <c r="K4" s="3"/>
      <c r="L4" s="3"/>
      <c r="M4" s="3"/>
      <c r="N4" s="3"/>
    </row>
    <row r="5" spans="1:16" ht="18" customHeight="1">
      <c r="A5" s="16" t="s">
        <v>38</v>
      </c>
      <c r="B5" s="4"/>
      <c r="C5" s="3"/>
      <c r="D5" s="3"/>
      <c r="E5" s="3"/>
      <c r="F5" s="3"/>
      <c r="G5" s="3"/>
      <c r="H5" s="3"/>
      <c r="I5" s="3"/>
      <c r="J5" s="3"/>
      <c r="K5" s="3"/>
      <c r="L5" s="3"/>
      <c r="M5" s="3"/>
      <c r="N5" s="3"/>
    </row>
    <row r="6" spans="1:16" ht="0.6" customHeight="1">
      <c r="A6" s="16"/>
      <c r="B6" s="4"/>
      <c r="C6" s="3"/>
      <c r="D6" s="3" t="s">
        <v>772</v>
      </c>
      <c r="E6" s="3"/>
      <c r="F6" s="3"/>
      <c r="G6" s="3"/>
      <c r="H6" s="3"/>
      <c r="I6" s="3"/>
      <c r="J6" s="3"/>
      <c r="K6" s="3"/>
      <c r="L6" s="3" t="s">
        <v>772</v>
      </c>
      <c r="M6" s="3"/>
      <c r="N6" s="3"/>
    </row>
    <row r="7" spans="1:16" ht="13.7" customHeight="1">
      <c r="A7" s="8" t="s">
        <v>373</v>
      </c>
      <c r="N7" s="21" t="s">
        <v>374</v>
      </c>
    </row>
    <row r="8" spans="1:16" s="39" customFormat="1" ht="17.45" customHeight="1">
      <c r="A8" s="53"/>
      <c r="B8" s="239"/>
      <c r="C8" s="264" t="s">
        <v>497</v>
      </c>
      <c r="D8" s="40"/>
      <c r="E8" s="238"/>
      <c r="F8" s="133"/>
      <c r="G8" s="134"/>
      <c r="H8" s="135"/>
      <c r="I8" s="244"/>
      <c r="J8" s="296" t="s">
        <v>495</v>
      </c>
      <c r="K8" s="1250" t="s">
        <v>821</v>
      </c>
      <c r="L8" s="1251"/>
      <c r="M8" s="1250" t="s">
        <v>822</v>
      </c>
      <c r="N8" s="1251"/>
    </row>
    <row r="9" spans="1:16" s="39" customFormat="1" ht="17.45" customHeight="1">
      <c r="A9" s="56"/>
      <c r="C9" s="27" t="s">
        <v>436</v>
      </c>
      <c r="D9" s="100"/>
      <c r="E9" s="28" t="s">
        <v>823</v>
      </c>
      <c r="F9" s="81"/>
      <c r="G9" s="136" t="s">
        <v>395</v>
      </c>
      <c r="H9" s="137"/>
      <c r="I9" s="1915" t="s">
        <v>396</v>
      </c>
      <c r="J9" s="113"/>
      <c r="K9" s="1252"/>
      <c r="L9" s="1253"/>
      <c r="M9" s="1252"/>
      <c r="N9" s="1253"/>
    </row>
    <row r="10" spans="1:16" s="39" customFormat="1" ht="17.45" customHeight="1">
      <c r="A10" s="24" t="s">
        <v>383</v>
      </c>
      <c r="B10" s="74"/>
      <c r="C10" s="97" t="s">
        <v>410</v>
      </c>
      <c r="D10" s="60"/>
      <c r="E10" s="97" t="s">
        <v>824</v>
      </c>
      <c r="F10" s="60"/>
      <c r="G10" s="57" t="s">
        <v>776</v>
      </c>
      <c r="H10" s="98"/>
      <c r="I10" s="57" t="s">
        <v>404</v>
      </c>
      <c r="J10" s="98"/>
      <c r="K10" s="1254"/>
      <c r="L10" s="1255"/>
      <c r="M10" s="1254"/>
      <c r="N10" s="1255"/>
    </row>
    <row r="11" spans="1:16" s="39"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39"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916">
        <v>801.3058446782502</v>
      </c>
      <c r="I13" s="747">
        <v>647.48403707369687</v>
      </c>
      <c r="J13" s="817">
        <v>270.27726360412316</v>
      </c>
      <c r="K13" s="817">
        <v>429.71097219663432</v>
      </c>
      <c r="L13" s="691">
        <v>13949.034344087573</v>
      </c>
      <c r="M13" s="678">
        <v>13140.971295152125</v>
      </c>
      <c r="N13" s="678">
        <v>17761.326924211055</v>
      </c>
      <c r="O13" s="1076"/>
      <c r="P13" s="801"/>
    </row>
    <row r="14" spans="1:16" s="408" customFormat="1" ht="14.25" customHeight="1">
      <c r="A14" s="356">
        <v>2016</v>
      </c>
      <c r="B14" s="570"/>
      <c r="C14" s="1917">
        <v>2241.9197084711595</v>
      </c>
      <c r="D14" s="1918">
        <v>982.80852227224796</v>
      </c>
      <c r="E14" s="1899">
        <v>7220.5557834359906</v>
      </c>
      <c r="F14" s="1899">
        <v>1534.9834630955163</v>
      </c>
      <c r="G14" s="1900">
        <v>3603.1453387712995</v>
      </c>
      <c r="H14" s="1919">
        <v>1033.0679236714145</v>
      </c>
      <c r="I14" s="1900">
        <v>422.71642688375033</v>
      </c>
      <c r="J14" s="1919">
        <v>309.81442793346923</v>
      </c>
      <c r="K14" s="1920">
        <v>359.37773054676381</v>
      </c>
      <c r="L14" s="1911">
        <v>13505.142608357241</v>
      </c>
      <c r="M14" s="1902">
        <v>13847.714479513312</v>
      </c>
      <c r="N14" s="1902">
        <v>17365.836945329891</v>
      </c>
      <c r="O14" s="1076"/>
      <c r="P14" s="801"/>
    </row>
    <row r="15" spans="1:16" s="408" customFormat="1" ht="14.25" customHeight="1">
      <c r="A15" s="356">
        <v>2017</v>
      </c>
      <c r="B15" s="570"/>
      <c r="C15" s="1917">
        <v>1805.3731951232771</v>
      </c>
      <c r="D15" s="1918">
        <v>1321.1626571899901</v>
      </c>
      <c r="E15" s="1899">
        <v>7406.1137585436081</v>
      </c>
      <c r="F15" s="1899">
        <v>1564.0839115697083</v>
      </c>
      <c r="G15" s="1900">
        <v>3680.8766901588542</v>
      </c>
      <c r="H15" s="1919">
        <v>1389.4876380810647</v>
      </c>
      <c r="I15" s="1900">
        <v>647.546344134317</v>
      </c>
      <c r="J15" s="1919">
        <v>210.30022560414562</v>
      </c>
      <c r="K15" s="1920">
        <v>400.25913072478875</v>
      </c>
      <c r="L15" s="1911">
        <v>12963.744519810403</v>
      </c>
      <c r="M15" s="1902">
        <v>13940.169101222122</v>
      </c>
      <c r="N15" s="1902">
        <v>17448.818952255315</v>
      </c>
      <c r="O15" s="1076"/>
      <c r="P15" s="801"/>
    </row>
    <row r="16" spans="1:16" s="321" customFormat="1" ht="14.25" customHeight="1">
      <c r="A16" s="770">
        <v>2018</v>
      </c>
      <c r="B16" s="771"/>
      <c r="C16" s="1168">
        <v>1728.9934081527347</v>
      </c>
      <c r="D16" s="1159">
        <v>1384.2007318882495</v>
      </c>
      <c r="E16" s="1160">
        <v>7880.1793050599927</v>
      </c>
      <c r="F16" s="1160">
        <v>1980.3431307119811</v>
      </c>
      <c r="G16" s="797">
        <v>3785.4850874866829</v>
      </c>
      <c r="H16" s="1169">
        <v>1266.5280800091759</v>
      </c>
      <c r="I16" s="1162">
        <v>665.44588410057418</v>
      </c>
      <c r="J16" s="1169">
        <v>248.15564364648375</v>
      </c>
      <c r="K16" s="1169">
        <v>402.74333957722922</v>
      </c>
      <c r="L16" s="1167">
        <v>13226.954740486637</v>
      </c>
      <c r="M16" s="1163">
        <v>14462.842695332831</v>
      </c>
      <c r="N16" s="1163">
        <v>18106.182326742528</v>
      </c>
      <c r="O16" s="1076"/>
      <c r="P16" s="801"/>
    </row>
    <row r="17" spans="1:16" s="321" customFormat="1" ht="14.25" customHeight="1">
      <c r="A17" s="770">
        <v>2019</v>
      </c>
      <c r="B17" s="771"/>
      <c r="C17" s="1168">
        <v>2180.6278704200699</v>
      </c>
      <c r="D17" s="1159">
        <v>1371.416890401</v>
      </c>
      <c r="E17" s="1160">
        <v>7967.2746840819391</v>
      </c>
      <c r="F17" s="1160">
        <v>1999.5105152603878</v>
      </c>
      <c r="G17" s="797">
        <v>4110.5731272226203</v>
      </c>
      <c r="H17" s="1169">
        <v>1425.9638774436141</v>
      </c>
      <c r="I17" s="1162">
        <v>657.7577115403501</v>
      </c>
      <c r="J17" s="1169">
        <v>233.4447737333669</v>
      </c>
      <c r="K17" s="1169">
        <v>408.33242946602365</v>
      </c>
      <c r="L17" s="1167">
        <v>15014.900359838257</v>
      </c>
      <c r="M17" s="1163">
        <v>15324.564850064096</v>
      </c>
      <c r="N17" s="1163">
        <v>20045.236416676627</v>
      </c>
      <c r="O17" s="1076"/>
      <c r="P17" s="801"/>
    </row>
    <row r="18" spans="1:16" s="321" customFormat="1" ht="14.25" customHeight="1">
      <c r="A18" s="770">
        <v>2020</v>
      </c>
      <c r="B18" s="771"/>
      <c r="C18" s="1168">
        <v>2086.0830684103757</v>
      </c>
      <c r="D18" s="1159">
        <v>1225.8267552026164</v>
      </c>
      <c r="E18" s="1160">
        <v>8647.3298049779605</v>
      </c>
      <c r="F18" s="1160">
        <v>1996.9894211305998</v>
      </c>
      <c r="G18" s="797">
        <v>4204.9430043860884</v>
      </c>
      <c r="H18" s="1169">
        <v>1805.7602954840879</v>
      </c>
      <c r="I18" s="1162">
        <v>643.88072840408779</v>
      </c>
      <c r="J18" s="1169">
        <v>328.87657437006823</v>
      </c>
      <c r="K18" s="1169">
        <v>314.25472310182943</v>
      </c>
      <c r="L18" s="1167">
        <v>14193.330142048115</v>
      </c>
      <c r="M18" s="1163">
        <v>15896.53070040784</v>
      </c>
      <c r="N18" s="1163">
        <v>19550.80381710799</v>
      </c>
      <c r="O18" s="1076"/>
      <c r="P18" s="801"/>
    </row>
    <row r="19" spans="1:16" s="321" customFormat="1" ht="14.25" customHeight="1">
      <c r="A19" s="770">
        <v>2021</v>
      </c>
      <c r="B19" s="771"/>
      <c r="C19" s="1168">
        <v>2581.0980337518458</v>
      </c>
      <c r="D19" s="1159">
        <v>1232.7892185193825</v>
      </c>
      <c r="E19" s="1160">
        <v>9112.3303129845972</v>
      </c>
      <c r="F19" s="1160">
        <v>1998.7970612516267</v>
      </c>
      <c r="G19" s="797">
        <v>4177.9175002049833</v>
      </c>
      <c r="H19" s="1169">
        <v>2101.5095958580255</v>
      </c>
      <c r="I19" s="1162">
        <v>672.09250113343592</v>
      </c>
      <c r="J19" s="1169">
        <v>249.66496613441313</v>
      </c>
      <c r="K19" s="1169">
        <v>235.71413871026149</v>
      </c>
      <c r="L19" s="1167">
        <v>15012.103961217619</v>
      </c>
      <c r="M19" s="1163">
        <v>16779.13972157225</v>
      </c>
      <c r="N19" s="1163">
        <v>20594.857567788935</v>
      </c>
      <c r="O19" s="1076"/>
      <c r="P19" s="801"/>
    </row>
    <row r="20" spans="1:16" s="321" customFormat="1" ht="14.25" customHeight="1">
      <c r="A20" s="770">
        <v>2022</v>
      </c>
      <c r="B20" s="771"/>
      <c r="C20" s="1168">
        <v>3778.7774098079249</v>
      </c>
      <c r="D20" s="1160">
        <v>986.09263033792263</v>
      </c>
      <c r="E20" s="1160">
        <v>9492.6956354081321</v>
      </c>
      <c r="F20" s="1160">
        <v>2012.704595707509</v>
      </c>
      <c r="G20" s="797">
        <v>4258.4236957163212</v>
      </c>
      <c r="H20" s="1169">
        <v>2160.4888362533788</v>
      </c>
      <c r="I20" s="1162">
        <v>733.30571172024702</v>
      </c>
      <c r="J20" s="1169">
        <v>459.93298391512099</v>
      </c>
      <c r="K20" s="1169">
        <v>243.26403618512978</v>
      </c>
      <c r="L20" s="1167">
        <v>14121.74016028702</v>
      </c>
      <c r="M20" s="1163">
        <v>18506.466488837756</v>
      </c>
      <c r="N20" s="1163">
        <v>19740.939206500949</v>
      </c>
      <c r="O20" s="1076"/>
      <c r="P20" s="801"/>
    </row>
    <row r="21" spans="1:16" s="321" customFormat="1" ht="14.25" customHeight="1">
      <c r="A21" s="770">
        <v>2023</v>
      </c>
      <c r="B21" s="771"/>
      <c r="C21" s="1168">
        <f t="shared" ref="C21:N21" si="0">C26</f>
        <v>5271.9115894603692</v>
      </c>
      <c r="D21" s="1159">
        <f t="shared" si="0"/>
        <v>999.99121646635058</v>
      </c>
      <c r="E21" s="1160">
        <f t="shared" si="0"/>
        <v>9312.1377551914738</v>
      </c>
      <c r="F21" s="1160">
        <f t="shared" si="0"/>
        <v>2492.7932144980614</v>
      </c>
      <c r="G21" s="797">
        <f t="shared" si="0"/>
        <v>3724.3620432554553</v>
      </c>
      <c r="H21" s="1169">
        <f t="shared" si="0"/>
        <v>2739.6142896728402</v>
      </c>
      <c r="I21" s="1162">
        <f t="shared" si="0"/>
        <v>739.85087319588081</v>
      </c>
      <c r="J21" s="1169">
        <f t="shared" si="0"/>
        <v>371.6402519642254</v>
      </c>
      <c r="K21" s="1169">
        <f t="shared" si="0"/>
        <v>288.89795858719913</v>
      </c>
      <c r="L21" s="1167">
        <f t="shared" si="0"/>
        <v>14319.460048120731</v>
      </c>
      <c r="M21" s="1163">
        <f t="shared" si="0"/>
        <v>19337.160219690373</v>
      </c>
      <c r="N21" s="1163">
        <f t="shared" si="0"/>
        <v>20923.519020722208</v>
      </c>
      <c r="O21" s="1076"/>
      <c r="P21" s="801"/>
    </row>
    <row r="22" spans="1:16" s="321" customFormat="1" ht="14.25" customHeight="1">
      <c r="A22" s="930">
        <v>2024</v>
      </c>
      <c r="B22" s="1025"/>
      <c r="C22" s="1074">
        <f t="shared" ref="C22:N22" si="1">C30</f>
        <v>5744.192081734911</v>
      </c>
      <c r="D22" s="1062">
        <f t="shared" si="1"/>
        <v>1037.5755893101007</v>
      </c>
      <c r="E22" s="1335">
        <f t="shared" si="1"/>
        <v>9200.9377915581754</v>
      </c>
      <c r="F22" s="1063">
        <f t="shared" si="1"/>
        <v>2696.0696973528684</v>
      </c>
      <c r="G22" s="1070">
        <f t="shared" si="1"/>
        <v>3553.2149766721632</v>
      </c>
      <c r="H22" s="1075">
        <f t="shared" si="1"/>
        <v>3381.2093407789757</v>
      </c>
      <c r="I22" s="1065">
        <f t="shared" si="1"/>
        <v>842.87488864541831</v>
      </c>
      <c r="J22" s="1075">
        <f t="shared" si="1"/>
        <v>406.93969637970042</v>
      </c>
      <c r="K22" s="1075">
        <f t="shared" si="1"/>
        <v>61.115379244246824</v>
      </c>
      <c r="L22" s="1073">
        <f t="shared" si="1"/>
        <v>14785.379437590287</v>
      </c>
      <c r="M22" s="1066">
        <f t="shared" si="1"/>
        <v>19402.315117854912</v>
      </c>
      <c r="N22" s="1066">
        <f t="shared" si="1"/>
        <v>22307.203761411933</v>
      </c>
      <c r="O22" s="1076"/>
      <c r="P22" s="801"/>
    </row>
    <row r="23" spans="1:16" s="321" customFormat="1" ht="21" customHeight="1">
      <c r="A23" s="770">
        <v>2023</v>
      </c>
      <c r="B23" s="771" t="s">
        <v>243</v>
      </c>
      <c r="C23" s="1168">
        <v>4200.2028146797838</v>
      </c>
      <c r="D23" s="1159">
        <v>1033.0586256132547</v>
      </c>
      <c r="E23" s="1160">
        <v>9526.1094788167302</v>
      </c>
      <c r="F23" s="1160">
        <v>2414.1152389539466</v>
      </c>
      <c r="G23" s="797">
        <v>4101.8421893326449</v>
      </c>
      <c r="H23" s="1169">
        <v>2132.533847392855</v>
      </c>
      <c r="I23" s="1162">
        <v>955.65680386551219</v>
      </c>
      <c r="J23" s="1169">
        <v>332.03552181835948</v>
      </c>
      <c r="K23" s="1169">
        <v>241.75331684806662</v>
      </c>
      <c r="L23" s="1167">
        <v>12701.614375438905</v>
      </c>
      <c r="M23" s="1163">
        <v>19025.564603542738</v>
      </c>
      <c r="N23" s="1163">
        <v>18613.327609217322</v>
      </c>
      <c r="O23" s="1076"/>
      <c r="P23" s="801"/>
    </row>
    <row r="24" spans="1:16" s="321" customFormat="1" ht="15">
      <c r="A24" s="770"/>
      <c r="B24" s="771" t="s">
        <v>244</v>
      </c>
      <c r="C24" s="1168">
        <v>4677.9647580722776</v>
      </c>
      <c r="D24" s="1159">
        <v>1022.6260173595206</v>
      </c>
      <c r="E24" s="1160">
        <v>9448.3277136158285</v>
      </c>
      <c r="F24" s="1160">
        <v>2501.8890313590041</v>
      </c>
      <c r="G24" s="797">
        <v>3869.3019346779888</v>
      </c>
      <c r="H24" s="1169">
        <v>2305.3459633565835</v>
      </c>
      <c r="I24" s="1162">
        <v>696.21926992553006</v>
      </c>
      <c r="J24" s="1169">
        <v>422.27221039062493</v>
      </c>
      <c r="K24" s="1169">
        <v>281.53635835226646</v>
      </c>
      <c r="L24" s="1167">
        <v>13014.066753038071</v>
      </c>
      <c r="M24" s="1163">
        <v>18973.330034643888</v>
      </c>
      <c r="N24" s="1163">
        <v>19266.159975503804</v>
      </c>
      <c r="O24" s="1076"/>
      <c r="P24" s="801"/>
    </row>
    <row r="25" spans="1:16" s="321" customFormat="1" ht="15">
      <c r="A25" s="770"/>
      <c r="B25" s="771" t="s">
        <v>245</v>
      </c>
      <c r="C25" s="1168">
        <v>5100.3854508531158</v>
      </c>
      <c r="D25" s="1160">
        <v>1122.5346412678671</v>
      </c>
      <c r="E25" s="1903">
        <v>9377.0559747235275</v>
      </c>
      <c r="F25" s="1160">
        <v>2515.1009926044244</v>
      </c>
      <c r="G25" s="797">
        <v>3818.9589043355586</v>
      </c>
      <c r="H25" s="1169">
        <v>2302.3277508701321</v>
      </c>
      <c r="I25" s="1162">
        <v>698.41510545132553</v>
      </c>
      <c r="J25" s="1169">
        <v>430.95788441106509</v>
      </c>
      <c r="K25" s="1169">
        <v>267.35106442453565</v>
      </c>
      <c r="L25" s="1167">
        <v>13620.041810517179</v>
      </c>
      <c r="M25" s="1163">
        <v>19262.266499788064</v>
      </c>
      <c r="N25" s="1163">
        <v>19990.943079670669</v>
      </c>
      <c r="O25" s="1076"/>
      <c r="P25" s="801"/>
    </row>
    <row r="26" spans="1:16" s="321" customFormat="1" ht="15">
      <c r="A26" s="770"/>
      <c r="B26" s="771" t="s">
        <v>242</v>
      </c>
      <c r="C26" s="1168">
        <v>5271.9115894603692</v>
      </c>
      <c r="D26" s="1159">
        <v>999.99121646635058</v>
      </c>
      <c r="E26" s="1160">
        <v>9312.1377551914738</v>
      </c>
      <c r="F26" s="1160">
        <v>2492.7932144980614</v>
      </c>
      <c r="G26" s="797">
        <v>3724.3620432554553</v>
      </c>
      <c r="H26" s="1169">
        <v>2739.6142896728402</v>
      </c>
      <c r="I26" s="1162">
        <v>739.85087319588081</v>
      </c>
      <c r="J26" s="1169">
        <v>371.6402519642254</v>
      </c>
      <c r="K26" s="1169">
        <v>288.89795858719913</v>
      </c>
      <c r="L26" s="1167">
        <v>14319.460048120731</v>
      </c>
      <c r="M26" s="1163">
        <v>19337.160219690373</v>
      </c>
      <c r="N26" s="1163">
        <v>20923.519020722208</v>
      </c>
      <c r="O26" s="1076"/>
      <c r="P26" s="801"/>
    </row>
    <row r="27" spans="1:16" s="321" customFormat="1" ht="21" customHeight="1">
      <c r="A27" s="770">
        <v>2024</v>
      </c>
      <c r="B27" s="771" t="s">
        <v>243</v>
      </c>
      <c r="C27" s="1168">
        <f t="shared" ref="C27:N27" si="2">C34</f>
        <v>5003.96151225629</v>
      </c>
      <c r="D27" s="1159">
        <f t="shared" si="2"/>
        <v>973.04452596919168</v>
      </c>
      <c r="E27" s="1160">
        <f t="shared" si="2"/>
        <v>9397.9642028220842</v>
      </c>
      <c r="F27" s="1160">
        <f t="shared" si="2"/>
        <v>2705.3220961752295</v>
      </c>
      <c r="G27" s="797">
        <f t="shared" si="2"/>
        <v>4035.4390333644915</v>
      </c>
      <c r="H27" s="1169">
        <f t="shared" si="2"/>
        <v>2854.7908395833001</v>
      </c>
      <c r="I27" s="1162">
        <f t="shared" si="2"/>
        <v>672.43241975780006</v>
      </c>
      <c r="J27" s="1169">
        <f t="shared" si="2"/>
        <v>435.28969430104269</v>
      </c>
      <c r="K27" s="1169">
        <f t="shared" si="2"/>
        <v>251.90789717562973</v>
      </c>
      <c r="L27" s="1167">
        <f t="shared" si="2"/>
        <v>14372.456308189336</v>
      </c>
      <c r="M27" s="1163">
        <f t="shared" si="2"/>
        <v>19361.675065376301</v>
      </c>
      <c r="N27" s="1163">
        <f t="shared" si="2"/>
        <v>21340.9034642181</v>
      </c>
      <c r="O27" s="1076"/>
      <c r="P27" s="801"/>
    </row>
    <row r="28" spans="1:16" s="321" customFormat="1" ht="15" customHeight="1">
      <c r="A28" s="770"/>
      <c r="B28" s="771" t="s">
        <v>244</v>
      </c>
      <c r="C28" s="1168">
        <f t="shared" ref="C28:N28" si="3">C37</f>
        <v>5509.2012285140117</v>
      </c>
      <c r="D28" s="1159">
        <f t="shared" si="3"/>
        <v>1022.6210433750223</v>
      </c>
      <c r="E28" s="1160">
        <f t="shared" si="3"/>
        <v>9411.7824305124232</v>
      </c>
      <c r="F28" s="1160">
        <f t="shared" si="3"/>
        <v>2830.4775419966436</v>
      </c>
      <c r="G28" s="797">
        <f t="shared" si="3"/>
        <v>3589.0568292421995</v>
      </c>
      <c r="H28" s="1169">
        <f t="shared" si="3"/>
        <v>3001.4442848773788</v>
      </c>
      <c r="I28" s="1162">
        <f t="shared" si="3"/>
        <v>840.12712742166764</v>
      </c>
      <c r="J28" s="1169">
        <f t="shared" si="3"/>
        <v>338.162242385958</v>
      </c>
      <c r="K28" s="1169">
        <f t="shared" si="3"/>
        <v>213.69745932866709</v>
      </c>
      <c r="L28" s="1167">
        <f t="shared" si="3"/>
        <v>14441.343644941131</v>
      </c>
      <c r="M28" s="1163">
        <f t="shared" si="3"/>
        <v>19563.855075018975</v>
      </c>
      <c r="N28" s="1163">
        <f t="shared" si="3"/>
        <v>21634.028757576136</v>
      </c>
      <c r="O28" s="1076"/>
      <c r="P28" s="801"/>
    </row>
    <row r="29" spans="1:16" s="321" customFormat="1" ht="15" customHeight="1">
      <c r="A29" s="770"/>
      <c r="B29" s="771" t="s">
        <v>245</v>
      </c>
      <c r="C29" s="1168">
        <f t="shared" ref="C29:N29" si="4">C40</f>
        <v>6099.6432338433115</v>
      </c>
      <c r="D29" s="1159">
        <f t="shared" si="4"/>
        <v>986.18268099025317</v>
      </c>
      <c r="E29" s="1160">
        <f t="shared" si="4"/>
        <v>9415.7859072480278</v>
      </c>
      <c r="F29" s="1160">
        <f t="shared" si="4"/>
        <v>2716.380117097493</v>
      </c>
      <c r="G29" s="797">
        <f t="shared" si="4"/>
        <v>3528.9750683616512</v>
      </c>
      <c r="H29" s="1169">
        <f t="shared" si="4"/>
        <v>3253.8491691414902</v>
      </c>
      <c r="I29" s="1162">
        <f t="shared" si="4"/>
        <v>789.42914558159191</v>
      </c>
      <c r="J29" s="1169">
        <f t="shared" si="4"/>
        <v>465.16374890984383</v>
      </c>
      <c r="K29" s="1169">
        <f t="shared" si="4"/>
        <v>58.480571016295457</v>
      </c>
      <c r="L29" s="1167">
        <f t="shared" si="4"/>
        <v>14218.118450187547</v>
      </c>
      <c r="M29" s="1163">
        <f t="shared" si="4"/>
        <v>19892.313926050883</v>
      </c>
      <c r="N29" s="1163">
        <f t="shared" si="4"/>
        <v>21639.674166326626</v>
      </c>
      <c r="O29" s="1076"/>
      <c r="P29" s="801"/>
    </row>
    <row r="30" spans="1:16" s="321" customFormat="1" ht="15" customHeight="1">
      <c r="A30" s="930"/>
      <c r="B30" s="1025" t="s">
        <v>242</v>
      </c>
      <c r="C30" s="1074">
        <f t="shared" ref="C30:N30" si="5">C43</f>
        <v>5744.192081734911</v>
      </c>
      <c r="D30" s="1062">
        <f t="shared" si="5"/>
        <v>1037.5755893101007</v>
      </c>
      <c r="E30" s="1063">
        <f t="shared" si="5"/>
        <v>9200.9377915581754</v>
      </c>
      <c r="F30" s="1063">
        <f t="shared" si="5"/>
        <v>2696.0696973528684</v>
      </c>
      <c r="G30" s="1070">
        <f t="shared" si="5"/>
        <v>3553.2149766721632</v>
      </c>
      <c r="H30" s="1075">
        <f t="shared" si="5"/>
        <v>3381.2093407789757</v>
      </c>
      <c r="I30" s="1065">
        <f t="shared" si="5"/>
        <v>842.87488864541831</v>
      </c>
      <c r="J30" s="1075">
        <f t="shared" si="5"/>
        <v>406.93969637970042</v>
      </c>
      <c r="K30" s="1075">
        <f t="shared" si="5"/>
        <v>61.115379244246824</v>
      </c>
      <c r="L30" s="1073">
        <f t="shared" si="5"/>
        <v>14785.379437590287</v>
      </c>
      <c r="M30" s="1066">
        <f t="shared" si="5"/>
        <v>19402.315117854912</v>
      </c>
      <c r="N30" s="1066">
        <f t="shared" si="5"/>
        <v>22307.203761411933</v>
      </c>
      <c r="O30" s="1076"/>
      <c r="P30" s="801"/>
    </row>
    <row r="31" spans="1:16" s="306" customFormat="1" ht="21" customHeight="1">
      <c r="A31" s="405">
        <v>2023</v>
      </c>
      <c r="B31" s="516" t="s">
        <v>426</v>
      </c>
      <c r="C31" s="816">
        <v>5271.9115894603692</v>
      </c>
      <c r="D31" s="816">
        <v>999.99121646635058</v>
      </c>
      <c r="E31" s="692">
        <v>9312.1377551914738</v>
      </c>
      <c r="F31" s="692">
        <v>2492.7932144980614</v>
      </c>
      <c r="G31" s="747">
        <v>3724.3620432554553</v>
      </c>
      <c r="H31" s="817">
        <v>2739.6142896728402</v>
      </c>
      <c r="I31" s="747">
        <v>739.85087319588081</v>
      </c>
      <c r="J31" s="817">
        <v>371.6402519642254</v>
      </c>
      <c r="K31" s="817">
        <v>288.89795858719913</v>
      </c>
      <c r="L31" s="691">
        <v>14319.460048120731</v>
      </c>
      <c r="M31" s="678">
        <v>19337.160219690373</v>
      </c>
      <c r="N31" s="678">
        <v>20923.519020722208</v>
      </c>
      <c r="O31" s="785"/>
      <c r="P31" s="314"/>
    </row>
    <row r="32" spans="1:16" s="306" customFormat="1" ht="21" customHeight="1">
      <c r="A32" s="405">
        <v>2024</v>
      </c>
      <c r="B32" s="516" t="s">
        <v>427</v>
      </c>
      <c r="C32" s="816">
        <v>5337.1147809942495</v>
      </c>
      <c r="D32" s="816">
        <v>975.41372775703871</v>
      </c>
      <c r="E32" s="692">
        <v>9333.2151774982212</v>
      </c>
      <c r="F32" s="692">
        <v>2534.0721468378533</v>
      </c>
      <c r="G32" s="747">
        <v>3760.4191948025059</v>
      </c>
      <c r="H32" s="817">
        <v>2762.3567198335522</v>
      </c>
      <c r="I32" s="747">
        <v>646.55040345583473</v>
      </c>
      <c r="J32" s="817">
        <v>378.04740279237859</v>
      </c>
      <c r="K32" s="817">
        <v>247.02045062094788</v>
      </c>
      <c r="L32" s="691">
        <v>14743.461395274313</v>
      </c>
      <c r="M32" s="678">
        <v>19324.32000737176</v>
      </c>
      <c r="N32" s="678">
        <v>21393.371392495133</v>
      </c>
      <c r="O32" s="314"/>
      <c r="P32" s="314"/>
    </row>
    <row r="33" spans="1:16" s="306" customFormat="1" ht="16.5" customHeight="1">
      <c r="A33" s="405"/>
      <c r="B33" s="516" t="s">
        <v>416</v>
      </c>
      <c r="C33" s="816">
        <v>5184.013863219021</v>
      </c>
      <c r="D33" s="816">
        <v>960.02619451487976</v>
      </c>
      <c r="E33" s="692">
        <v>9391.4747278810573</v>
      </c>
      <c r="F33" s="692">
        <v>2546.2789479953294</v>
      </c>
      <c r="G33" s="747">
        <v>3821.0355154660883</v>
      </c>
      <c r="H33" s="817">
        <v>2824.8888082943731</v>
      </c>
      <c r="I33" s="747">
        <v>681.02994193018094</v>
      </c>
      <c r="J33" s="817">
        <v>389.6841739514432</v>
      </c>
      <c r="K33" s="817">
        <v>242.64064657092706</v>
      </c>
      <c r="L33" s="691">
        <v>14601.375719057938</v>
      </c>
      <c r="M33" s="678">
        <v>19320.144695067276</v>
      </c>
      <c r="N33" s="678">
        <v>21322.253843813967</v>
      </c>
      <c r="O33" s="314"/>
      <c r="P33" s="314"/>
    </row>
    <row r="34" spans="1:16" s="306" customFormat="1" ht="16.5" customHeight="1">
      <c r="A34" s="405"/>
      <c r="B34" s="516" t="s">
        <v>417</v>
      </c>
      <c r="C34" s="816">
        <v>5003.96151225629</v>
      </c>
      <c r="D34" s="816">
        <v>973.04452596919168</v>
      </c>
      <c r="E34" s="692">
        <v>9397.9642028220842</v>
      </c>
      <c r="F34" s="692">
        <v>2705.3220961752295</v>
      </c>
      <c r="G34" s="747">
        <v>4035.4390333644915</v>
      </c>
      <c r="H34" s="817">
        <v>2854.7908395833001</v>
      </c>
      <c r="I34" s="747">
        <v>672.43241975780006</v>
      </c>
      <c r="J34" s="817">
        <v>435.28969430104269</v>
      </c>
      <c r="K34" s="817">
        <v>251.90789717562973</v>
      </c>
      <c r="L34" s="691">
        <v>14372.456308189336</v>
      </c>
      <c r="M34" s="678">
        <v>19361.675065376301</v>
      </c>
      <c r="N34" s="678">
        <v>21340.9034642181</v>
      </c>
      <c r="O34" s="314"/>
      <c r="P34" s="314"/>
    </row>
    <row r="35" spans="1:16" s="306" customFormat="1" ht="16.5" customHeight="1">
      <c r="A35" s="405"/>
      <c r="B35" s="516" t="s">
        <v>418</v>
      </c>
      <c r="C35" s="816">
        <v>5019.9965563527549</v>
      </c>
      <c r="D35" s="816">
        <v>968.76002814747881</v>
      </c>
      <c r="E35" s="692">
        <v>9412.8851141024734</v>
      </c>
      <c r="F35" s="692">
        <v>2721.2066536934049</v>
      </c>
      <c r="G35" s="747">
        <v>3991.6425118315715</v>
      </c>
      <c r="H35" s="817">
        <v>2881.5768956485049</v>
      </c>
      <c r="I35" s="747">
        <v>668.62524539202013</v>
      </c>
      <c r="J35" s="817">
        <v>433.28014960752199</v>
      </c>
      <c r="K35" s="817">
        <v>238.18321092093277</v>
      </c>
      <c r="L35" s="691">
        <v>14522.827057515568</v>
      </c>
      <c r="M35" s="678">
        <v>19331.332638599757</v>
      </c>
      <c r="N35" s="678">
        <v>21527.660784612479</v>
      </c>
      <c r="O35" s="314"/>
      <c r="P35" s="314"/>
    </row>
    <row r="36" spans="1:16" s="306" customFormat="1" ht="16.5" customHeight="1">
      <c r="A36" s="405"/>
      <c r="B36" s="516" t="s">
        <v>419</v>
      </c>
      <c r="C36" s="816">
        <v>5274.5103994265228</v>
      </c>
      <c r="D36" s="816">
        <v>1063.4411895766209</v>
      </c>
      <c r="E36" s="692">
        <v>9463.0926331862393</v>
      </c>
      <c r="F36" s="692">
        <v>2742.53342906121</v>
      </c>
      <c r="G36" s="747">
        <v>3679.6126439500781</v>
      </c>
      <c r="H36" s="817">
        <v>2883.472959965939</v>
      </c>
      <c r="I36" s="747">
        <v>726.12091744208635</v>
      </c>
      <c r="J36" s="817">
        <v>352.45418594653393</v>
      </c>
      <c r="K36" s="817">
        <v>223.59183728888337</v>
      </c>
      <c r="L36" s="691">
        <v>14826.186537922371</v>
      </c>
      <c r="M36" s="678">
        <v>19366.928431293814</v>
      </c>
      <c r="N36" s="678">
        <v>21868.058302472677</v>
      </c>
      <c r="O36" s="314"/>
      <c r="P36" s="314"/>
    </row>
    <row r="37" spans="1:16" s="306" customFormat="1" ht="16.5" customHeight="1">
      <c r="A37" s="405"/>
      <c r="B37" s="516" t="s">
        <v>420</v>
      </c>
      <c r="C37" s="816">
        <v>5509.2012285140117</v>
      </c>
      <c r="D37" s="816">
        <v>1022.6210433750223</v>
      </c>
      <c r="E37" s="692">
        <v>9411.7824305124232</v>
      </c>
      <c r="F37" s="692">
        <v>2830.4775419966436</v>
      </c>
      <c r="G37" s="747">
        <v>3589.0568292421995</v>
      </c>
      <c r="H37" s="817">
        <v>3001.4442848773788</v>
      </c>
      <c r="I37" s="747">
        <v>840.12712742166764</v>
      </c>
      <c r="J37" s="817">
        <v>338.162242385958</v>
      </c>
      <c r="K37" s="817">
        <v>213.69745932866709</v>
      </c>
      <c r="L37" s="691">
        <v>14441.343644941131</v>
      </c>
      <c r="M37" s="678">
        <v>19563.855075018975</v>
      </c>
      <c r="N37" s="678">
        <v>21634.028757576136</v>
      </c>
      <c r="O37" s="314"/>
      <c r="P37" s="314"/>
    </row>
    <row r="38" spans="1:16" s="306" customFormat="1" ht="16.5" customHeight="1">
      <c r="A38" s="405"/>
      <c r="B38" s="516" t="s">
        <v>421</v>
      </c>
      <c r="C38" s="816">
        <v>5324.0920897196147</v>
      </c>
      <c r="D38" s="816">
        <v>970.26968449892456</v>
      </c>
      <c r="E38" s="692">
        <v>9349.461051528704</v>
      </c>
      <c r="F38" s="692">
        <v>2779.2370111839746</v>
      </c>
      <c r="G38" s="747">
        <v>3665.4427946743672</v>
      </c>
      <c r="H38" s="817">
        <v>3148.0155966994239</v>
      </c>
      <c r="I38" s="747">
        <v>730.66804269717522</v>
      </c>
      <c r="J38" s="817">
        <v>464.59545957025006</v>
      </c>
      <c r="K38" s="817">
        <v>207.84034809370814</v>
      </c>
      <c r="L38" s="691">
        <v>14427.262184185565</v>
      </c>
      <c r="M38" s="678">
        <v>19277.514326713572</v>
      </c>
      <c r="N38" s="678">
        <v>21789.379936138139</v>
      </c>
      <c r="O38" s="314"/>
      <c r="P38" s="314"/>
    </row>
    <row r="39" spans="1:16" s="306" customFormat="1" ht="16.5" customHeight="1">
      <c r="A39" s="405"/>
      <c r="B39" s="516" t="s">
        <v>422</v>
      </c>
      <c r="C39" s="816">
        <v>5632.9752879472426</v>
      </c>
      <c r="D39" s="816">
        <v>983.73653421404003</v>
      </c>
      <c r="E39" s="692">
        <v>9439.7161859433545</v>
      </c>
      <c r="F39" s="692">
        <v>2657.8547784614561</v>
      </c>
      <c r="G39" s="747">
        <v>3624.5968756876646</v>
      </c>
      <c r="H39" s="817">
        <v>3166.3232237669208</v>
      </c>
      <c r="I39" s="747">
        <v>692.9430247480966</v>
      </c>
      <c r="J39" s="817">
        <v>511.4758271314746</v>
      </c>
      <c r="K39" s="817">
        <v>242.68887682842336</v>
      </c>
      <c r="L39" s="691">
        <v>14658.069392070134</v>
      </c>
      <c r="M39" s="678">
        <v>19632.930251154779</v>
      </c>
      <c r="N39" s="678">
        <v>21977.509755644023</v>
      </c>
      <c r="O39" s="314"/>
      <c r="P39" s="314"/>
    </row>
    <row r="40" spans="1:16" s="306" customFormat="1" ht="16.5" customHeight="1">
      <c r="A40" s="405"/>
      <c r="B40" s="516" t="s">
        <v>423</v>
      </c>
      <c r="C40" s="816">
        <v>6099.6432338433115</v>
      </c>
      <c r="D40" s="816">
        <v>986.18268099025317</v>
      </c>
      <c r="E40" s="692">
        <v>9415.7859072480278</v>
      </c>
      <c r="F40" s="692">
        <v>2716.380117097493</v>
      </c>
      <c r="G40" s="747">
        <v>3528.9750683616512</v>
      </c>
      <c r="H40" s="817">
        <v>3253.8491691414902</v>
      </c>
      <c r="I40" s="747">
        <v>789.42914558159191</v>
      </c>
      <c r="J40" s="817">
        <v>465.16374890984383</v>
      </c>
      <c r="K40" s="817">
        <v>58.480571016295457</v>
      </c>
      <c r="L40" s="691">
        <v>14218.118450187547</v>
      </c>
      <c r="M40" s="678">
        <v>19892.313926050883</v>
      </c>
      <c r="N40" s="678">
        <v>21639.674166326626</v>
      </c>
      <c r="O40" s="314"/>
      <c r="P40" s="314"/>
    </row>
    <row r="41" spans="1:16" s="306" customFormat="1" ht="16.5" customHeight="1">
      <c r="A41" s="405"/>
      <c r="B41" s="516" t="s">
        <v>424</v>
      </c>
      <c r="C41" s="816">
        <v>5971.9961747161842</v>
      </c>
      <c r="D41" s="816">
        <v>970.23267851603623</v>
      </c>
      <c r="E41" s="692">
        <v>9389.5373292245786</v>
      </c>
      <c r="F41" s="692">
        <v>2659.7625002212517</v>
      </c>
      <c r="G41" s="747">
        <v>3498.6610846968988</v>
      </c>
      <c r="H41" s="817">
        <v>3261.0378711667126</v>
      </c>
      <c r="I41" s="747">
        <v>821.53556683704585</v>
      </c>
      <c r="J41" s="817">
        <v>421.05439161132756</v>
      </c>
      <c r="K41" s="817">
        <v>86.468141306400199</v>
      </c>
      <c r="L41" s="691">
        <v>13962.357181037698</v>
      </c>
      <c r="M41" s="678">
        <v>19768.228296781108</v>
      </c>
      <c r="N41" s="678">
        <v>21274.454622553028</v>
      </c>
      <c r="O41" s="314"/>
      <c r="P41" s="314"/>
    </row>
    <row r="42" spans="1:16" s="306" customFormat="1" ht="16.5" customHeight="1">
      <c r="A42" s="405"/>
      <c r="B42" s="516" t="s">
        <v>425</v>
      </c>
      <c r="C42" s="816">
        <v>6105.5426646461392</v>
      </c>
      <c r="D42" s="816">
        <v>1028.9578541298015</v>
      </c>
      <c r="E42" s="692">
        <v>9186.6271001545429</v>
      </c>
      <c r="F42" s="692">
        <v>2725.8504895043548</v>
      </c>
      <c r="G42" s="747">
        <v>3474.8692348022446</v>
      </c>
      <c r="H42" s="817">
        <v>3190.78613203132</v>
      </c>
      <c r="I42" s="747">
        <v>922.66833355531048</v>
      </c>
      <c r="J42" s="817">
        <v>313.54102928727082</v>
      </c>
      <c r="K42" s="817">
        <v>67.357657665405057</v>
      </c>
      <c r="L42" s="691">
        <v>14504.235880825832</v>
      </c>
      <c r="M42" s="678">
        <v>19757.064990823645</v>
      </c>
      <c r="N42" s="678">
        <v>21763.391385778577</v>
      </c>
      <c r="O42" s="314"/>
      <c r="P42" s="314"/>
    </row>
    <row r="43" spans="1:16" s="306" customFormat="1" ht="16.5" customHeight="1">
      <c r="A43" s="405"/>
      <c r="B43" s="516" t="s">
        <v>426</v>
      </c>
      <c r="C43" s="816">
        <v>5744.192081734911</v>
      </c>
      <c r="D43" s="816">
        <v>1037.5755893101007</v>
      </c>
      <c r="E43" s="692">
        <v>9200.9377915581754</v>
      </c>
      <c r="F43" s="692">
        <v>2696.0696973528684</v>
      </c>
      <c r="G43" s="747">
        <v>3553.2149766721632</v>
      </c>
      <c r="H43" s="817">
        <v>3381.2093407789757</v>
      </c>
      <c r="I43" s="747">
        <v>842.87488864541831</v>
      </c>
      <c r="J43" s="817">
        <v>406.93969637970042</v>
      </c>
      <c r="K43" s="817">
        <v>61.115379244246824</v>
      </c>
      <c r="L43" s="691">
        <v>14785.379437590287</v>
      </c>
      <c r="M43" s="678">
        <v>19402.315117854912</v>
      </c>
      <c r="N43" s="678">
        <v>22307.203761411933</v>
      </c>
      <c r="O43" s="314"/>
      <c r="P43" s="314"/>
    </row>
    <row r="44" spans="1:16">
      <c r="A44" s="220"/>
      <c r="B44" s="220"/>
      <c r="C44" s="220"/>
      <c r="D44" s="220"/>
      <c r="E44" s="220"/>
      <c r="F44" s="220"/>
      <c r="G44" s="220"/>
      <c r="H44" s="220"/>
      <c r="I44" s="220"/>
      <c r="J44" s="220"/>
      <c r="K44" s="220"/>
      <c r="L44" s="220"/>
      <c r="M44" s="220"/>
      <c r="N44" s="220"/>
    </row>
    <row r="45" spans="1:16">
      <c r="C45" s="1913"/>
      <c r="D45" s="1913"/>
      <c r="E45" s="1913"/>
      <c r="F45" s="1913"/>
      <c r="G45" s="1913"/>
      <c r="H45" s="1913"/>
      <c r="I45" s="1913"/>
      <c r="J45" s="1913"/>
      <c r="K45" s="1913"/>
      <c r="L45" s="1913"/>
      <c r="M45" s="1913"/>
      <c r="N45" s="1913"/>
    </row>
    <row r="46" spans="1:16">
      <c r="B46" s="3"/>
      <c r="C46" s="1913"/>
      <c r="D46" s="1913"/>
      <c r="E46" s="1913"/>
      <c r="F46" s="1913"/>
      <c r="G46" s="1913"/>
      <c r="H46" s="1913"/>
      <c r="I46" s="1913"/>
      <c r="J46" s="1913"/>
      <c r="K46" s="1913"/>
      <c r="L46" s="1913"/>
      <c r="M46" s="1913"/>
      <c r="N46" s="1913"/>
    </row>
    <row r="47" spans="1:16" ht="14.25">
      <c r="A47" s="318" t="s">
        <v>825</v>
      </c>
      <c r="B47" s="3"/>
      <c r="C47" s="3"/>
      <c r="D47" s="3"/>
      <c r="E47" s="3"/>
      <c r="F47" s="3"/>
      <c r="G47" s="3"/>
      <c r="H47" s="3"/>
      <c r="I47" s="3"/>
      <c r="J47" s="3"/>
      <c r="K47" s="3"/>
      <c r="L47" s="3"/>
      <c r="M47" s="3"/>
      <c r="N47" s="3"/>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B12" sqref="B12"/>
      <selection pane="bottomLeft" activeCell="M31" sqref="M31"/>
    </sheetView>
  </sheetViews>
  <sheetFormatPr defaultRowHeight="12.75"/>
  <cols>
    <col min="1" max="2" width="9.7109375" style="25" customWidth="1"/>
    <col min="3" max="14" width="12.7109375" style="25" customWidth="1"/>
    <col min="15" max="16384" width="9.140625" style="25"/>
  </cols>
  <sheetData>
    <row r="1" spans="1:16" ht="18" customHeight="1">
      <c r="A1" s="16" t="s">
        <v>1774</v>
      </c>
      <c r="B1" s="4"/>
      <c r="C1" s="3"/>
      <c r="D1" s="3"/>
      <c r="E1" s="3"/>
      <c r="F1" s="3"/>
      <c r="G1" s="3"/>
      <c r="H1" s="3"/>
      <c r="I1" s="3"/>
      <c r="J1" s="3"/>
      <c r="K1" s="3"/>
      <c r="L1" s="3"/>
      <c r="M1" s="3"/>
      <c r="N1" s="3"/>
    </row>
    <row r="2" spans="1:16" ht="18" customHeight="1">
      <c r="A2" s="898" t="s">
        <v>770</v>
      </c>
      <c r="B2" s="4"/>
      <c r="C2" s="3"/>
      <c r="D2" s="3"/>
      <c r="E2" s="3"/>
      <c r="F2" s="3"/>
      <c r="G2" s="3"/>
      <c r="H2" s="3"/>
      <c r="I2" s="3"/>
      <c r="J2" s="3"/>
      <c r="K2" s="3"/>
      <c r="L2" s="3"/>
      <c r="M2" s="3"/>
      <c r="N2" s="3"/>
    </row>
    <row r="3" spans="1:16" ht="18" customHeight="1">
      <c r="A3" s="16" t="s">
        <v>771</v>
      </c>
      <c r="B3" s="1"/>
      <c r="C3" s="1"/>
      <c r="D3" s="1"/>
      <c r="E3" s="1"/>
      <c r="F3" s="1"/>
      <c r="G3" s="1"/>
      <c r="H3" s="1"/>
      <c r="I3" s="1"/>
      <c r="J3" s="1"/>
      <c r="K3" s="1"/>
      <c r="L3" s="1"/>
      <c r="M3" s="7"/>
      <c r="N3" s="1904"/>
    </row>
    <row r="4" spans="1:16" ht="18" customHeight="1">
      <c r="A4" s="898" t="s">
        <v>41</v>
      </c>
      <c r="B4" s="4"/>
      <c r="C4" s="3"/>
      <c r="D4" s="3"/>
      <c r="E4" s="3"/>
      <c r="F4" s="3"/>
      <c r="G4" s="3"/>
      <c r="H4" s="3"/>
      <c r="I4" s="3"/>
      <c r="J4" s="3"/>
      <c r="K4" s="3"/>
      <c r="L4" s="3"/>
      <c r="M4" s="3"/>
      <c r="N4" s="3"/>
    </row>
    <row r="5" spans="1:16" ht="18" customHeight="1">
      <c r="A5" s="16" t="s">
        <v>40</v>
      </c>
      <c r="B5" s="4"/>
      <c r="C5" s="3"/>
      <c r="D5" s="3"/>
      <c r="E5" s="3"/>
      <c r="F5" s="3"/>
      <c r="G5" s="3"/>
      <c r="H5" s="3"/>
      <c r="I5" s="3"/>
      <c r="J5" s="3"/>
      <c r="K5" s="3"/>
      <c r="L5" s="3"/>
      <c r="M5" s="3"/>
      <c r="N5" s="3"/>
    </row>
    <row r="6" spans="1:16" ht="1.5" customHeight="1">
      <c r="A6" s="16"/>
      <c r="B6" s="4"/>
      <c r="C6" s="3"/>
      <c r="D6" s="3" t="s">
        <v>772</v>
      </c>
      <c r="E6" s="3"/>
      <c r="F6" s="3"/>
      <c r="G6" s="3"/>
      <c r="H6" s="3"/>
      <c r="I6" s="3"/>
      <c r="J6" s="3"/>
      <c r="K6" s="3"/>
      <c r="L6" s="3" t="s">
        <v>772</v>
      </c>
      <c r="M6" s="3"/>
      <c r="N6" s="3"/>
    </row>
    <row r="7" spans="1:16" ht="15">
      <c r="A7" s="8" t="s">
        <v>373</v>
      </c>
      <c r="M7" s="1905"/>
      <c r="N7" s="21" t="s">
        <v>374</v>
      </c>
    </row>
    <row r="8" spans="1:16" s="140" customFormat="1" ht="17.45" customHeight="1">
      <c r="A8" s="53"/>
      <c r="B8" s="127"/>
      <c r="C8" s="297" t="s">
        <v>795</v>
      </c>
      <c r="D8" s="133"/>
      <c r="E8" s="133"/>
      <c r="F8" s="133"/>
      <c r="G8" s="134"/>
      <c r="H8" s="135"/>
      <c r="I8" s="245"/>
      <c r="J8" s="296" t="s">
        <v>796</v>
      </c>
      <c r="K8" s="1250" t="s">
        <v>826</v>
      </c>
      <c r="L8" s="1251"/>
      <c r="M8" s="1250" t="s">
        <v>827</v>
      </c>
      <c r="N8" s="1251"/>
    </row>
    <row r="9" spans="1:16" s="140" customFormat="1" ht="17.45" customHeight="1">
      <c r="A9" s="56"/>
      <c r="B9" s="39"/>
      <c r="C9" s="27" t="s">
        <v>436</v>
      </c>
      <c r="D9" s="100"/>
      <c r="E9" s="28" t="s">
        <v>823</v>
      </c>
      <c r="F9" s="81"/>
      <c r="G9" s="136" t="s">
        <v>395</v>
      </c>
      <c r="H9" s="137"/>
      <c r="I9" s="141" t="s">
        <v>396</v>
      </c>
      <c r="J9" s="113"/>
      <c r="K9" s="1252"/>
      <c r="L9" s="1253"/>
      <c r="M9" s="1252"/>
      <c r="N9" s="1253"/>
    </row>
    <row r="10" spans="1:16" s="140" customFormat="1" ht="17.45" customHeight="1">
      <c r="A10" s="24" t="s">
        <v>383</v>
      </c>
      <c r="B10" s="74"/>
      <c r="C10" s="97" t="s">
        <v>410</v>
      </c>
      <c r="D10" s="60"/>
      <c r="E10" s="97" t="s">
        <v>824</v>
      </c>
      <c r="F10" s="60"/>
      <c r="G10" s="57" t="s">
        <v>776</v>
      </c>
      <c r="H10" s="98"/>
      <c r="I10" s="57" t="s">
        <v>404</v>
      </c>
      <c r="J10" s="98"/>
      <c r="K10" s="1254"/>
      <c r="L10" s="1255"/>
      <c r="M10" s="1254"/>
      <c r="N10" s="1255"/>
    </row>
    <row r="11" spans="1:16" s="140"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140"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906">
        <v>579.85826877843999</v>
      </c>
      <c r="D14" s="1906">
        <v>1044.308414674317</v>
      </c>
      <c r="E14" s="1907">
        <v>7443.1104031751838</v>
      </c>
      <c r="F14" s="1907">
        <v>2241.0663992753734</v>
      </c>
      <c r="G14" s="1908">
        <v>1822.4270104740001</v>
      </c>
      <c r="H14" s="1909">
        <v>299.88302245900002</v>
      </c>
      <c r="I14" s="1907">
        <v>2571.3646182724069</v>
      </c>
      <c r="J14" s="1910">
        <v>758.64686689305063</v>
      </c>
      <c r="K14" s="1899">
        <v>1308.5493400848645</v>
      </c>
      <c r="L14" s="1907">
        <v>13144.254380962431</v>
      </c>
      <c r="M14" s="1911">
        <v>13725.349640784894</v>
      </c>
      <c r="N14" s="1911">
        <v>17488.159084264171</v>
      </c>
      <c r="O14" s="314"/>
      <c r="P14" s="314"/>
    </row>
    <row r="15" spans="1:16" s="408" customFormat="1" ht="14.25" customHeight="1">
      <c r="A15" s="356">
        <v>2017</v>
      </c>
      <c r="B15" s="570"/>
      <c r="C15" s="1906">
        <v>504.59508169000003</v>
      </c>
      <c r="D15" s="1906">
        <v>754.4946556333731</v>
      </c>
      <c r="E15" s="1907">
        <v>7541.8592944910406</v>
      </c>
      <c r="F15" s="1907">
        <v>2576.602583168858</v>
      </c>
      <c r="G15" s="1908">
        <v>1962.8939980619998</v>
      </c>
      <c r="H15" s="1909">
        <v>257.598066604</v>
      </c>
      <c r="I15" s="1907">
        <v>2669.4350580149198</v>
      </c>
      <c r="J15" s="1910">
        <v>836.00724174297557</v>
      </c>
      <c r="K15" s="1899">
        <v>1063.8516252512086</v>
      </c>
      <c r="L15" s="1907">
        <v>13221.603134814433</v>
      </c>
      <c r="M15" s="1911">
        <v>13742.655791509169</v>
      </c>
      <c r="N15" s="1911">
        <v>17646.30568196364</v>
      </c>
      <c r="O15" s="314"/>
      <c r="P15" s="314"/>
    </row>
    <row r="16" spans="1:16" s="321" customFormat="1" ht="14.25" customHeight="1">
      <c r="A16" s="770">
        <v>2018</v>
      </c>
      <c r="B16" s="771"/>
      <c r="C16" s="1165">
        <v>533.80858013498005</v>
      </c>
      <c r="D16" s="1165">
        <v>980.25521297485989</v>
      </c>
      <c r="E16" s="1166">
        <v>7543.6063947340472</v>
      </c>
      <c r="F16" s="1166">
        <v>2803.369281584592</v>
      </c>
      <c r="G16" s="797">
        <v>1914.1885228199344</v>
      </c>
      <c r="H16" s="1131">
        <v>290.54115872100004</v>
      </c>
      <c r="I16" s="1166">
        <v>2847.7626825348239</v>
      </c>
      <c r="J16" s="1130">
        <v>918.84185810735062</v>
      </c>
      <c r="K16" s="1160">
        <v>1112.6454569580051</v>
      </c>
      <c r="L16" s="1166">
        <v>13624.004320104132</v>
      </c>
      <c r="M16" s="1167">
        <v>13951.992516181792</v>
      </c>
      <c r="N16" s="1167">
        <v>18616.991831491934</v>
      </c>
      <c r="O16" s="785"/>
      <c r="P16" s="314"/>
    </row>
    <row r="17" spans="1:16" s="321" customFormat="1" ht="14.25" customHeight="1">
      <c r="A17" s="770">
        <v>2019</v>
      </c>
      <c r="B17" s="771"/>
      <c r="C17" s="1165">
        <v>453.11124023702553</v>
      </c>
      <c r="D17" s="1165">
        <v>926.86142612692572</v>
      </c>
      <c r="E17" s="1166">
        <v>8469.8172098400155</v>
      </c>
      <c r="F17" s="1166">
        <v>3081.6416328226128</v>
      </c>
      <c r="G17" s="797">
        <v>1768.4751209395436</v>
      </c>
      <c r="H17" s="1131">
        <v>358.33801689204216</v>
      </c>
      <c r="I17" s="1166">
        <v>3010.6580249900762</v>
      </c>
      <c r="J17" s="1130">
        <v>898.72388917093622</v>
      </c>
      <c r="K17" s="1160">
        <v>1245.8330786345402</v>
      </c>
      <c r="L17" s="1166">
        <v>15156.351784787163</v>
      </c>
      <c r="M17" s="1167">
        <v>14947.895688641198</v>
      </c>
      <c r="N17" s="1167">
        <v>20421.936749799679</v>
      </c>
      <c r="O17" s="785"/>
      <c r="P17" s="314"/>
    </row>
    <row r="18" spans="1:16" s="321" customFormat="1" ht="14.25" customHeight="1">
      <c r="A18" s="770">
        <v>2020</v>
      </c>
      <c r="B18" s="771"/>
      <c r="C18" s="1165">
        <v>627.23756981760005</v>
      </c>
      <c r="D18" s="1165">
        <v>642.15942062757199</v>
      </c>
      <c r="E18" s="1166">
        <v>9386.5943541492525</v>
      </c>
      <c r="F18" s="1166">
        <v>2888.7396038415468</v>
      </c>
      <c r="G18" s="797">
        <v>1604.9321082341826</v>
      </c>
      <c r="H18" s="1131">
        <v>224.40211251746001</v>
      </c>
      <c r="I18" s="1166">
        <v>3161.3656544262094</v>
      </c>
      <c r="J18" s="1130">
        <v>1075.2193343748693</v>
      </c>
      <c r="K18" s="1160">
        <v>1492.1692631043511</v>
      </c>
      <c r="L18" s="1166">
        <v>14344.527094388002</v>
      </c>
      <c r="M18" s="1167">
        <v>16272.296949731597</v>
      </c>
      <c r="N18" s="1167">
        <v>19175.037565749451</v>
      </c>
      <c r="O18" s="785"/>
      <c r="P18" s="314"/>
    </row>
    <row r="19" spans="1:16" s="321" customFormat="1" ht="14.25" customHeight="1">
      <c r="A19" s="770">
        <v>2021</v>
      </c>
      <c r="B19" s="771"/>
      <c r="C19" s="1165">
        <v>816.43419702265294</v>
      </c>
      <c r="D19" s="1165">
        <v>855.5739111031329</v>
      </c>
      <c r="E19" s="1166">
        <v>9801.1705898501423</v>
      </c>
      <c r="F19" s="1166">
        <v>3136.8935231773212</v>
      </c>
      <c r="G19" s="797">
        <v>1530.7053879053758</v>
      </c>
      <c r="H19" s="1131">
        <v>173.74944270008302</v>
      </c>
      <c r="I19" s="1166">
        <v>3469.4260958318041</v>
      </c>
      <c r="J19" s="1130">
        <v>848.29032313494008</v>
      </c>
      <c r="K19" s="1160">
        <v>1670.9038253670476</v>
      </c>
      <c r="L19" s="1166">
        <v>15070.876228906402</v>
      </c>
      <c r="M19" s="1167">
        <v>17288.618830567022</v>
      </c>
      <c r="N19" s="1167">
        <v>20085.38342902188</v>
      </c>
      <c r="O19" s="785"/>
      <c r="P19" s="314"/>
    </row>
    <row r="20" spans="1:16" s="321" customFormat="1" ht="14.25" customHeight="1">
      <c r="A20" s="770">
        <v>2022</v>
      </c>
      <c r="B20" s="771"/>
      <c r="C20" s="1165">
        <v>843.29459444807503</v>
      </c>
      <c r="D20" s="797">
        <v>1004.4372093795953</v>
      </c>
      <c r="E20" s="1166">
        <v>10241.441116201067</v>
      </c>
      <c r="F20" s="1166">
        <v>3270.567586424575</v>
      </c>
      <c r="G20" s="797">
        <v>1470.3895143201501</v>
      </c>
      <c r="H20" s="1131">
        <v>182.31648988007402</v>
      </c>
      <c r="I20" s="1166">
        <v>3715.7714144109677</v>
      </c>
      <c r="J20" s="1130">
        <v>554.71056840436722</v>
      </c>
      <c r="K20" s="1160">
        <v>2033.2400491979361</v>
      </c>
      <c r="L20" s="1166">
        <v>14931.257699244801</v>
      </c>
      <c r="M20" s="1167">
        <v>18304.136688578201</v>
      </c>
      <c r="N20" s="1167">
        <v>19943.289553333412</v>
      </c>
      <c r="O20" s="785"/>
      <c r="P20" s="314"/>
    </row>
    <row r="21" spans="1:16" s="321" customFormat="1" ht="14.25" customHeight="1">
      <c r="A21" s="770">
        <v>2023</v>
      </c>
      <c r="B21" s="771"/>
      <c r="C21" s="1165">
        <f t="shared" ref="C21:N21" si="0">C26</f>
        <v>1202.2561152707158</v>
      </c>
      <c r="D21" s="1165">
        <f t="shared" si="0"/>
        <v>839.33579682030654</v>
      </c>
      <c r="E21" s="1166">
        <f t="shared" si="0"/>
        <v>10658.7212228889</v>
      </c>
      <c r="F21" s="1166">
        <f t="shared" si="0"/>
        <v>3533.7552126449473</v>
      </c>
      <c r="G21" s="797">
        <f t="shared" si="0"/>
        <v>1535.0102197801789</v>
      </c>
      <c r="H21" s="1131">
        <f t="shared" si="0"/>
        <v>217.27361716870001</v>
      </c>
      <c r="I21" s="1166">
        <f t="shared" si="0"/>
        <v>3839.9558149555178</v>
      </c>
      <c r="J21" s="1130">
        <f t="shared" si="0"/>
        <v>724.52645095472292</v>
      </c>
      <c r="K21" s="1160">
        <f t="shared" si="0"/>
        <v>2154.9120775464348</v>
      </c>
      <c r="L21" s="1166">
        <f t="shared" si="0"/>
        <v>15554.859786865323</v>
      </c>
      <c r="M21" s="1167">
        <f t="shared" si="0"/>
        <v>19390.855450441741</v>
      </c>
      <c r="N21" s="1167">
        <f t="shared" si="0"/>
        <v>20869.760864454001</v>
      </c>
      <c r="O21" s="785"/>
      <c r="P21" s="314"/>
    </row>
    <row r="22" spans="1:16" s="321" customFormat="1" ht="14.25" customHeight="1">
      <c r="A22" s="930">
        <v>2024</v>
      </c>
      <c r="B22" s="1025"/>
      <c r="C22" s="1068">
        <f t="shared" ref="C22:N22" si="1">C30</f>
        <v>930.28124494219765</v>
      </c>
      <c r="D22" s="1068">
        <f t="shared" si="1"/>
        <v>871.19956732233447</v>
      </c>
      <c r="E22" s="1336">
        <f t="shared" si="1"/>
        <v>10988.361236316472</v>
      </c>
      <c r="F22" s="1069">
        <f t="shared" si="1"/>
        <v>3261.5264831030895</v>
      </c>
      <c r="G22" s="1070">
        <f t="shared" si="1"/>
        <v>1623.8124745880173</v>
      </c>
      <c r="H22" s="1071">
        <f t="shared" si="1"/>
        <v>289.86764528721</v>
      </c>
      <c r="I22" s="1069">
        <f t="shared" si="1"/>
        <v>4117.5987201834232</v>
      </c>
      <c r="J22" s="1072">
        <f t="shared" si="1"/>
        <v>556.62891809954442</v>
      </c>
      <c r="K22" s="1063">
        <f t="shared" si="1"/>
        <v>2403.9347012814801</v>
      </c>
      <c r="L22" s="1069">
        <f t="shared" si="1"/>
        <v>16666.301775618158</v>
      </c>
      <c r="M22" s="1073">
        <f t="shared" si="1"/>
        <v>20063.988377311591</v>
      </c>
      <c r="N22" s="1073">
        <f t="shared" si="1"/>
        <v>21645.474389430336</v>
      </c>
      <c r="O22" s="785"/>
      <c r="P22" s="314"/>
    </row>
    <row r="23" spans="1:16" s="321" customFormat="1" ht="21" customHeight="1">
      <c r="A23" s="770">
        <v>2023</v>
      </c>
      <c r="B23" s="771" t="s">
        <v>243</v>
      </c>
      <c r="C23" s="1165">
        <v>786.5091759323202</v>
      </c>
      <c r="D23" s="1165">
        <v>950.92448197834744</v>
      </c>
      <c r="E23" s="1166">
        <v>10458.936053910909</v>
      </c>
      <c r="F23" s="1166">
        <v>3588.962870478581</v>
      </c>
      <c r="G23" s="797">
        <v>1487.9245745666617</v>
      </c>
      <c r="H23" s="1131">
        <v>138.96143840612802</v>
      </c>
      <c r="I23" s="1166">
        <v>3706.908485893684</v>
      </c>
      <c r="J23" s="1130">
        <v>550.20752450791065</v>
      </c>
      <c r="K23" s="1160">
        <v>2000.8862741153798</v>
      </c>
      <c r="L23" s="1166">
        <v>13968.733674188434</v>
      </c>
      <c r="M23" s="1167">
        <v>18441.144564418955</v>
      </c>
      <c r="N23" s="1167">
        <v>19197.7799895594</v>
      </c>
      <c r="O23" s="785"/>
      <c r="P23" s="314"/>
    </row>
    <row r="24" spans="1:16" s="321" customFormat="1" ht="15">
      <c r="A24" s="770"/>
      <c r="B24" s="771" t="s">
        <v>244</v>
      </c>
      <c r="C24" s="1165">
        <v>1079.8363427677659</v>
      </c>
      <c r="D24" s="1165">
        <v>1104.4739731440118</v>
      </c>
      <c r="E24" s="1166">
        <v>10420.968245001392</v>
      </c>
      <c r="F24" s="1166">
        <v>3505.8893764066142</v>
      </c>
      <c r="G24" s="797">
        <v>1512.5376940404797</v>
      </c>
      <c r="H24" s="1131">
        <v>231.28128341728001</v>
      </c>
      <c r="I24" s="1166">
        <v>3748.3601867377338</v>
      </c>
      <c r="J24" s="1130">
        <v>474.31848733308948</v>
      </c>
      <c r="K24" s="1160">
        <v>2115.800458236708</v>
      </c>
      <c r="L24" s="1166">
        <v>14046.042211526299</v>
      </c>
      <c r="M24" s="1167">
        <v>18877.512926784082</v>
      </c>
      <c r="N24" s="1167">
        <v>19362.005331827291</v>
      </c>
      <c r="O24" s="785"/>
      <c r="P24" s="314"/>
    </row>
    <row r="25" spans="1:16" s="321" customFormat="1" ht="15">
      <c r="A25" s="770"/>
      <c r="B25" s="771" t="s">
        <v>245</v>
      </c>
      <c r="C25" s="1165">
        <v>1083.771760876366</v>
      </c>
      <c r="D25" s="797">
        <v>862.43528037812098</v>
      </c>
      <c r="E25" s="1912">
        <v>10493.343403506809</v>
      </c>
      <c r="F25" s="1166">
        <v>3396.8895565247972</v>
      </c>
      <c r="G25" s="797">
        <v>1582.7714454120896</v>
      </c>
      <c r="H25" s="1131">
        <v>222.32241347314999</v>
      </c>
      <c r="I25" s="1166">
        <v>3827.7105509386329</v>
      </c>
      <c r="J25" s="1130">
        <v>703.26764279789245</v>
      </c>
      <c r="K25" s="1160">
        <v>2110.3049921065922</v>
      </c>
      <c r="L25" s="1166">
        <v>14970.391555611217</v>
      </c>
      <c r="M25" s="1167">
        <v>19097.91215284049</v>
      </c>
      <c r="N25" s="1167">
        <v>20155.326448785177</v>
      </c>
      <c r="O25" s="785"/>
      <c r="P25" s="314"/>
    </row>
    <row r="26" spans="1:16" s="321" customFormat="1" ht="15">
      <c r="A26" s="770"/>
      <c r="B26" s="771" t="s">
        <v>242</v>
      </c>
      <c r="C26" s="1165">
        <v>1202.2561152707158</v>
      </c>
      <c r="D26" s="1165">
        <v>839.33579682030654</v>
      </c>
      <c r="E26" s="1166">
        <v>10658.7212228889</v>
      </c>
      <c r="F26" s="1166">
        <v>3533.7552126449473</v>
      </c>
      <c r="G26" s="797">
        <v>1535.0102197801789</v>
      </c>
      <c r="H26" s="1131">
        <v>217.27361716870001</v>
      </c>
      <c r="I26" s="1166">
        <v>3839.9558149555178</v>
      </c>
      <c r="J26" s="1130">
        <v>724.52645095472292</v>
      </c>
      <c r="K26" s="1160">
        <v>2154.9120775464348</v>
      </c>
      <c r="L26" s="1166">
        <v>15554.859786865323</v>
      </c>
      <c r="M26" s="1167">
        <v>19390.855450441741</v>
      </c>
      <c r="N26" s="1167">
        <v>20869.760864454001</v>
      </c>
      <c r="O26" s="785"/>
      <c r="P26" s="314"/>
    </row>
    <row r="27" spans="1:16" s="321" customFormat="1" ht="21" customHeight="1">
      <c r="A27" s="770">
        <v>2024</v>
      </c>
      <c r="B27" s="771" t="s">
        <v>243</v>
      </c>
      <c r="C27" s="1165">
        <f t="shared" ref="C27:N27" si="2">C34</f>
        <v>1183.810280177016</v>
      </c>
      <c r="D27" s="1165">
        <f t="shared" si="2"/>
        <v>900.01093771898479</v>
      </c>
      <c r="E27" s="1166">
        <f t="shared" si="2"/>
        <v>10634.427779371332</v>
      </c>
      <c r="F27" s="1166">
        <f t="shared" si="2"/>
        <v>3288.975542214544</v>
      </c>
      <c r="G27" s="797">
        <f t="shared" si="2"/>
        <v>1480.9630760084744</v>
      </c>
      <c r="H27" s="1131">
        <f t="shared" si="2"/>
        <v>189.54174030868001</v>
      </c>
      <c r="I27" s="1166">
        <f t="shared" si="2"/>
        <v>3879.712132388875</v>
      </c>
      <c r="J27" s="1130">
        <f t="shared" si="2"/>
        <v>824.96053787368896</v>
      </c>
      <c r="K27" s="1160">
        <f t="shared" si="2"/>
        <v>2246.5797315036871</v>
      </c>
      <c r="L27" s="1166">
        <f t="shared" si="2"/>
        <v>16073.599204343416</v>
      </c>
      <c r="M27" s="1167">
        <f t="shared" si="2"/>
        <v>19425.542999449386</v>
      </c>
      <c r="N27" s="1167">
        <f t="shared" si="2"/>
        <v>21277.087962459314</v>
      </c>
      <c r="O27" s="785"/>
      <c r="P27" s="314"/>
    </row>
    <row r="28" spans="1:16" s="321" customFormat="1" ht="15" customHeight="1">
      <c r="A28" s="770"/>
      <c r="B28" s="771" t="s">
        <v>244</v>
      </c>
      <c r="C28" s="1165">
        <f t="shared" ref="C28:N28" si="3">C37</f>
        <v>1071.072295868006</v>
      </c>
      <c r="D28" s="1165">
        <f t="shared" si="3"/>
        <v>796.39091861238626</v>
      </c>
      <c r="E28" s="1166">
        <f t="shared" si="3"/>
        <v>10859.91471771923</v>
      </c>
      <c r="F28" s="1166">
        <f t="shared" si="3"/>
        <v>3327.3023595878703</v>
      </c>
      <c r="G28" s="797">
        <f t="shared" si="3"/>
        <v>1549.9033962921471</v>
      </c>
      <c r="H28" s="1131">
        <f t="shared" si="3"/>
        <v>244.02706523149996</v>
      </c>
      <c r="I28" s="1166">
        <f t="shared" si="3"/>
        <v>3831.5075777901575</v>
      </c>
      <c r="J28" s="1130">
        <f t="shared" si="3"/>
        <v>656.11029378574619</v>
      </c>
      <c r="K28" s="1160">
        <f t="shared" si="3"/>
        <v>2367.6286423170923</v>
      </c>
      <c r="L28" s="1166">
        <f t="shared" si="3"/>
        <v>16494.062685685567</v>
      </c>
      <c r="M28" s="1167">
        <f t="shared" si="3"/>
        <v>19679.976629986631</v>
      </c>
      <c r="N28" s="1167">
        <f t="shared" si="3"/>
        <v>21517.89332290307</v>
      </c>
      <c r="O28" s="785"/>
      <c r="P28" s="314"/>
    </row>
    <row r="29" spans="1:16" s="321" customFormat="1" ht="15" customHeight="1">
      <c r="A29" s="770"/>
      <c r="B29" s="771" t="s">
        <v>245</v>
      </c>
      <c r="C29" s="1165">
        <f t="shared" ref="C29:N29" si="4">C40</f>
        <v>1116.7813995381957</v>
      </c>
      <c r="D29" s="1165">
        <f t="shared" si="4"/>
        <v>742.42669254094369</v>
      </c>
      <c r="E29" s="1166">
        <f t="shared" si="4"/>
        <v>11074.786968199263</v>
      </c>
      <c r="F29" s="1166">
        <f t="shared" si="4"/>
        <v>3550.4091123751705</v>
      </c>
      <c r="G29" s="797">
        <f t="shared" si="4"/>
        <v>1640.8124888836282</v>
      </c>
      <c r="H29" s="1131">
        <f t="shared" si="4"/>
        <v>313.48307779378001</v>
      </c>
      <c r="I29" s="1166">
        <f t="shared" si="4"/>
        <v>3984.0506199647352</v>
      </c>
      <c r="J29" s="1130">
        <f t="shared" si="4"/>
        <v>743.33861532264211</v>
      </c>
      <c r="K29" s="1160">
        <f t="shared" si="4"/>
        <v>2405.6938350365413</v>
      </c>
      <c r="L29" s="1166">
        <f t="shared" si="4"/>
        <v>15960.163834652631</v>
      </c>
      <c r="M29" s="1167">
        <f t="shared" si="4"/>
        <v>20222.155311622362</v>
      </c>
      <c r="N29" s="1167">
        <f t="shared" si="4"/>
        <v>21309.771332685166</v>
      </c>
      <c r="O29" s="785"/>
      <c r="P29" s="314"/>
    </row>
    <row r="30" spans="1:16" s="321" customFormat="1" ht="15" customHeight="1">
      <c r="A30" s="930"/>
      <c r="B30" s="1025" t="s">
        <v>242</v>
      </c>
      <c r="C30" s="1068">
        <f t="shared" ref="C30:N30" si="5">C43</f>
        <v>930.28124494219765</v>
      </c>
      <c r="D30" s="1068">
        <f t="shared" si="5"/>
        <v>871.19956732233447</v>
      </c>
      <c r="E30" s="1069">
        <f t="shared" si="5"/>
        <v>10988.361236316472</v>
      </c>
      <c r="F30" s="1069">
        <f t="shared" si="5"/>
        <v>3261.5264831030895</v>
      </c>
      <c r="G30" s="1070">
        <f t="shared" si="5"/>
        <v>1623.8124745880173</v>
      </c>
      <c r="H30" s="1071">
        <f t="shared" si="5"/>
        <v>289.86764528721</v>
      </c>
      <c r="I30" s="1069">
        <f t="shared" si="5"/>
        <v>4117.5987201834232</v>
      </c>
      <c r="J30" s="1072">
        <f t="shared" si="5"/>
        <v>556.62891809954442</v>
      </c>
      <c r="K30" s="1063">
        <f t="shared" si="5"/>
        <v>2403.9347012814801</v>
      </c>
      <c r="L30" s="1069">
        <f t="shared" si="5"/>
        <v>16666.301775618158</v>
      </c>
      <c r="M30" s="1073">
        <f t="shared" si="5"/>
        <v>20063.988377311591</v>
      </c>
      <c r="N30" s="1073">
        <f t="shared" si="5"/>
        <v>21645.474389430336</v>
      </c>
      <c r="O30" s="785"/>
      <c r="P30" s="314"/>
    </row>
    <row r="31" spans="1:16" s="306" customFormat="1" ht="21" customHeight="1">
      <c r="A31" s="405">
        <v>2023</v>
      </c>
      <c r="B31" s="516" t="s">
        <v>426</v>
      </c>
      <c r="C31" s="679">
        <v>1202.2561152707158</v>
      </c>
      <c r="D31" s="679">
        <v>839.33579682030654</v>
      </c>
      <c r="E31" s="661">
        <v>10658.7212228889</v>
      </c>
      <c r="F31" s="661">
        <v>3533.7552126449473</v>
      </c>
      <c r="G31" s="660">
        <v>1535.0102197801789</v>
      </c>
      <c r="H31" s="699">
        <v>217.27361716870001</v>
      </c>
      <c r="I31" s="661">
        <v>3839.9558149555178</v>
      </c>
      <c r="J31" s="680">
        <v>724.52645095472292</v>
      </c>
      <c r="K31" s="692">
        <v>2154.9120775464348</v>
      </c>
      <c r="L31" s="661">
        <v>15554.859786865323</v>
      </c>
      <c r="M31" s="691">
        <v>19390.855450441741</v>
      </c>
      <c r="N31" s="691">
        <v>20869.760864454001</v>
      </c>
      <c r="O31" s="314"/>
      <c r="P31" s="314"/>
    </row>
    <row r="32" spans="1:16" s="306" customFormat="1" ht="21" customHeight="1">
      <c r="A32" s="405">
        <v>2024</v>
      </c>
      <c r="B32" s="516" t="s">
        <v>427</v>
      </c>
      <c r="C32" s="679">
        <v>1228.9912698919859</v>
      </c>
      <c r="D32" s="679">
        <v>866.33724334450767</v>
      </c>
      <c r="E32" s="661">
        <v>10604.056323641011</v>
      </c>
      <c r="F32" s="661">
        <v>3487.3169480663364</v>
      </c>
      <c r="G32" s="660">
        <v>1488.1345776089379</v>
      </c>
      <c r="H32" s="699">
        <v>203.95511175660002</v>
      </c>
      <c r="I32" s="661">
        <v>3832.142023354299</v>
      </c>
      <c r="J32" s="680">
        <v>604.79660557658553</v>
      </c>
      <c r="K32" s="692">
        <v>2235.873309727338</v>
      </c>
      <c r="L32" s="661">
        <v>16166.054541587844</v>
      </c>
      <c r="M32" s="691">
        <v>19389.167504223569</v>
      </c>
      <c r="N32" s="691">
        <v>21328.460450331873</v>
      </c>
      <c r="O32" s="314"/>
      <c r="P32" s="314"/>
    </row>
    <row r="33" spans="1:16" s="306" customFormat="1" ht="16.5" customHeight="1">
      <c r="A33" s="405"/>
      <c r="B33" s="516" t="s">
        <v>416</v>
      </c>
      <c r="C33" s="679">
        <v>1292.2895052089762</v>
      </c>
      <c r="D33" s="679">
        <v>927.64037531920667</v>
      </c>
      <c r="E33" s="661">
        <v>10639.472426412336</v>
      </c>
      <c r="F33" s="661">
        <v>3337.7288585077599</v>
      </c>
      <c r="G33" s="660">
        <v>1477.4402797634204</v>
      </c>
      <c r="H33" s="699">
        <v>235.85736731302998</v>
      </c>
      <c r="I33" s="661">
        <v>3850.9253678420314</v>
      </c>
      <c r="J33" s="680">
        <v>708.85592034103661</v>
      </c>
      <c r="K33" s="692">
        <v>2180.7641635029399</v>
      </c>
      <c r="L33" s="661">
        <v>15991.445954361257</v>
      </c>
      <c r="M33" s="691">
        <v>19440.931742729703</v>
      </c>
      <c r="N33" s="691">
        <v>21201.488475842289</v>
      </c>
      <c r="O33" s="314"/>
      <c r="P33" s="314"/>
    </row>
    <row r="34" spans="1:16" s="306" customFormat="1" ht="16.5" customHeight="1">
      <c r="A34" s="405"/>
      <c r="B34" s="516" t="s">
        <v>417</v>
      </c>
      <c r="C34" s="679">
        <v>1183.810280177016</v>
      </c>
      <c r="D34" s="679">
        <v>900.01093771898479</v>
      </c>
      <c r="E34" s="661">
        <v>10634.427779371332</v>
      </c>
      <c r="F34" s="661">
        <v>3288.975542214544</v>
      </c>
      <c r="G34" s="660">
        <v>1480.9630760084744</v>
      </c>
      <c r="H34" s="699">
        <v>189.54174030868001</v>
      </c>
      <c r="I34" s="661">
        <v>3879.712132388875</v>
      </c>
      <c r="J34" s="680">
        <v>824.96053787368896</v>
      </c>
      <c r="K34" s="692">
        <v>2246.5797315036871</v>
      </c>
      <c r="L34" s="661">
        <v>16073.599204343416</v>
      </c>
      <c r="M34" s="691">
        <v>19425.542999449386</v>
      </c>
      <c r="N34" s="691">
        <v>21277.087962459314</v>
      </c>
      <c r="O34" s="314"/>
      <c r="P34" s="314"/>
    </row>
    <row r="35" spans="1:16" s="306" customFormat="1" ht="16.5" customHeight="1">
      <c r="A35" s="405"/>
      <c r="B35" s="516" t="s">
        <v>418</v>
      </c>
      <c r="C35" s="679">
        <v>1238.704579596086</v>
      </c>
      <c r="D35" s="679">
        <v>805.82394447756667</v>
      </c>
      <c r="E35" s="661">
        <v>10723.979762015519</v>
      </c>
      <c r="F35" s="661">
        <v>3200.126859305135</v>
      </c>
      <c r="G35" s="660">
        <v>1525.3556952328645</v>
      </c>
      <c r="H35" s="699">
        <v>209.49941355246</v>
      </c>
      <c r="I35" s="661">
        <v>3810.1119867497587</v>
      </c>
      <c r="J35" s="680">
        <v>698.35544191904899</v>
      </c>
      <c r="K35" s="692">
        <v>2272.4299349651101</v>
      </c>
      <c r="L35" s="661">
        <v>16374.602538963298</v>
      </c>
      <c r="M35" s="691">
        <v>19570.581958559338</v>
      </c>
      <c r="N35" s="691">
        <v>21288.378198217506</v>
      </c>
      <c r="O35" s="314"/>
      <c r="P35" s="314"/>
    </row>
    <row r="36" spans="1:16" s="306" customFormat="1" ht="16.5" customHeight="1">
      <c r="A36" s="405"/>
      <c r="B36" s="516" t="s">
        <v>419</v>
      </c>
      <c r="C36" s="679">
        <v>1240.8044007842602</v>
      </c>
      <c r="D36" s="679">
        <v>756.28574122340581</v>
      </c>
      <c r="E36" s="661">
        <v>10794.106452022746</v>
      </c>
      <c r="F36" s="661">
        <v>3153.1758343161896</v>
      </c>
      <c r="G36" s="660">
        <v>1584.5598103839889</v>
      </c>
      <c r="H36" s="699">
        <v>227.90099835226999</v>
      </c>
      <c r="I36" s="661">
        <v>3819.7597302199902</v>
      </c>
      <c r="J36" s="680">
        <v>663.33461832840953</v>
      </c>
      <c r="K36" s="692">
        <v>2083.2551375873959</v>
      </c>
      <c r="L36" s="661">
        <v>16911.659382653925</v>
      </c>
      <c r="M36" s="691">
        <v>19522.57553099838</v>
      </c>
      <c r="N36" s="691">
        <v>21712.3565748742</v>
      </c>
      <c r="O36" s="314"/>
      <c r="P36" s="314"/>
    </row>
    <row r="37" spans="1:16" s="306" customFormat="1" ht="16.5" customHeight="1">
      <c r="A37" s="405"/>
      <c r="B37" s="516" t="s">
        <v>420</v>
      </c>
      <c r="C37" s="679">
        <v>1071.072295868006</v>
      </c>
      <c r="D37" s="679">
        <v>796.39091861238626</v>
      </c>
      <c r="E37" s="661">
        <v>10859.91471771923</v>
      </c>
      <c r="F37" s="661">
        <v>3327.3023595878703</v>
      </c>
      <c r="G37" s="660">
        <v>1549.9033962921471</v>
      </c>
      <c r="H37" s="699">
        <v>244.02706523149996</v>
      </c>
      <c r="I37" s="661">
        <v>3831.5075777901575</v>
      </c>
      <c r="J37" s="680">
        <v>656.11029378574619</v>
      </c>
      <c r="K37" s="692">
        <v>2367.6286423170923</v>
      </c>
      <c r="L37" s="661">
        <v>16494.062685685567</v>
      </c>
      <c r="M37" s="691">
        <v>19679.976629986631</v>
      </c>
      <c r="N37" s="691">
        <v>21517.89332290307</v>
      </c>
      <c r="O37" s="314"/>
      <c r="P37" s="314"/>
    </row>
    <row r="38" spans="1:16" s="306" customFormat="1" ht="16.5" customHeight="1">
      <c r="A38" s="405"/>
      <c r="B38" s="516" t="s">
        <v>421</v>
      </c>
      <c r="C38" s="679">
        <v>966.46111303052623</v>
      </c>
      <c r="D38" s="679">
        <v>851.11254425578306</v>
      </c>
      <c r="E38" s="661">
        <v>10743.306574833308</v>
      </c>
      <c r="F38" s="661">
        <v>3520.724097327467</v>
      </c>
      <c r="G38" s="660">
        <v>1559.4990929426222</v>
      </c>
      <c r="H38" s="699">
        <v>227.37415845456002</v>
      </c>
      <c r="I38" s="661">
        <v>3854.0476090961129</v>
      </c>
      <c r="J38" s="680">
        <v>693.5649337058021</v>
      </c>
      <c r="K38" s="692">
        <v>2397.1642576104823</v>
      </c>
      <c r="L38" s="661">
        <v>16253.561418232755</v>
      </c>
      <c r="M38" s="691">
        <v>19520.528647513052</v>
      </c>
      <c r="N38" s="691">
        <v>21546.367151976367</v>
      </c>
      <c r="O38" s="314"/>
      <c r="P38" s="314"/>
    </row>
    <row r="39" spans="1:16" s="306" customFormat="1" ht="16.5" customHeight="1">
      <c r="A39" s="405"/>
      <c r="B39" s="516" t="s">
        <v>422</v>
      </c>
      <c r="C39" s="679">
        <v>1025.246806604694</v>
      </c>
      <c r="D39" s="679">
        <v>1044.2928318413633</v>
      </c>
      <c r="E39" s="661">
        <v>10757.196962265414</v>
      </c>
      <c r="F39" s="661">
        <v>3554.9644900442768</v>
      </c>
      <c r="G39" s="660">
        <v>1665.3578815527273</v>
      </c>
      <c r="H39" s="699">
        <v>427.2375927551256</v>
      </c>
      <c r="I39" s="661">
        <v>3828.0191046413111</v>
      </c>
      <c r="J39" s="680">
        <v>690.64949870362716</v>
      </c>
      <c r="K39" s="692">
        <v>2446.6292298742082</v>
      </c>
      <c r="L39" s="661">
        <v>16170.852666925899</v>
      </c>
      <c r="M39" s="691">
        <v>19722.449984938357</v>
      </c>
      <c r="N39" s="691">
        <v>21887.997080270288</v>
      </c>
      <c r="O39" s="314"/>
      <c r="P39" s="314"/>
    </row>
    <row r="40" spans="1:16" s="306" customFormat="1" ht="16.5" customHeight="1">
      <c r="A40" s="405"/>
      <c r="B40" s="516" t="s">
        <v>423</v>
      </c>
      <c r="C40" s="679">
        <v>1116.7813995381957</v>
      </c>
      <c r="D40" s="679">
        <v>742.42669254094369</v>
      </c>
      <c r="E40" s="661">
        <v>11074.786968199263</v>
      </c>
      <c r="F40" s="661">
        <v>3550.4091123751705</v>
      </c>
      <c r="G40" s="660">
        <v>1640.8124888836282</v>
      </c>
      <c r="H40" s="699">
        <v>313.48307779378001</v>
      </c>
      <c r="I40" s="661">
        <v>3984.0506199647352</v>
      </c>
      <c r="J40" s="680">
        <v>743.33861532264211</v>
      </c>
      <c r="K40" s="692">
        <v>2405.6938350365413</v>
      </c>
      <c r="L40" s="661">
        <v>15960.163834652631</v>
      </c>
      <c r="M40" s="691">
        <v>20222.155311622362</v>
      </c>
      <c r="N40" s="691">
        <v>21309.771332685166</v>
      </c>
      <c r="O40" s="314"/>
      <c r="P40" s="314"/>
    </row>
    <row r="41" spans="1:16" s="306" customFormat="1" ht="16.5" customHeight="1">
      <c r="A41" s="405"/>
      <c r="B41" s="516" t="s">
        <v>424</v>
      </c>
      <c r="C41" s="679">
        <v>852.22748668192582</v>
      </c>
      <c r="D41" s="679">
        <v>954.9060229353081</v>
      </c>
      <c r="E41" s="661">
        <v>11091.598960764653</v>
      </c>
      <c r="F41" s="661">
        <v>3317.5890285051451</v>
      </c>
      <c r="G41" s="660">
        <v>1629.1815696079029</v>
      </c>
      <c r="H41" s="699">
        <v>365.68803996631993</v>
      </c>
      <c r="I41" s="661">
        <v>4033.6485042928389</v>
      </c>
      <c r="J41" s="680">
        <v>532.96820728623857</v>
      </c>
      <c r="K41" s="692">
        <v>2445.9618318484881</v>
      </c>
      <c r="L41" s="661">
        <v>15818.920596361579</v>
      </c>
      <c r="M41" s="691">
        <v>20052.598353195808</v>
      </c>
      <c r="N41" s="691">
        <v>20990.071895054589</v>
      </c>
      <c r="O41" s="314"/>
      <c r="P41" s="314"/>
    </row>
    <row r="42" spans="1:16" s="306" customFormat="1" ht="16.5" customHeight="1">
      <c r="A42" s="405"/>
      <c r="B42" s="516" t="s">
        <v>425</v>
      </c>
      <c r="C42" s="679">
        <v>884.10582996133371</v>
      </c>
      <c r="D42" s="679">
        <v>980.59311656348564</v>
      </c>
      <c r="E42" s="661">
        <v>11022.605367681017</v>
      </c>
      <c r="F42" s="661">
        <v>3246.7993935730669</v>
      </c>
      <c r="G42" s="660">
        <v>1596.5677620834792</v>
      </c>
      <c r="H42" s="699">
        <v>335.84354835091005</v>
      </c>
      <c r="I42" s="661">
        <v>4162.5167863767292</v>
      </c>
      <c r="J42" s="680">
        <v>576.03108900632196</v>
      </c>
      <c r="K42" s="692">
        <v>2418.0877213310955</v>
      </c>
      <c r="L42" s="661">
        <v>16297.4128134987</v>
      </c>
      <c r="M42" s="691">
        <v>20083.883467433654</v>
      </c>
      <c r="N42" s="691">
        <v>21436.639960992485</v>
      </c>
      <c r="O42" s="314"/>
      <c r="P42" s="314"/>
    </row>
    <row r="43" spans="1:16" s="306" customFormat="1" ht="16.5" customHeight="1">
      <c r="A43" s="405"/>
      <c r="B43" s="516" t="s">
        <v>426</v>
      </c>
      <c r="C43" s="679">
        <v>930.28124494219765</v>
      </c>
      <c r="D43" s="679">
        <v>871.19956732233447</v>
      </c>
      <c r="E43" s="661">
        <v>10988.361236316472</v>
      </c>
      <c r="F43" s="661">
        <v>3261.5264831030895</v>
      </c>
      <c r="G43" s="660">
        <v>1623.8124745880173</v>
      </c>
      <c r="H43" s="699">
        <v>289.86764528721</v>
      </c>
      <c r="I43" s="661">
        <v>4117.5987201834232</v>
      </c>
      <c r="J43" s="680">
        <v>556.62891809954442</v>
      </c>
      <c r="K43" s="692">
        <v>2403.9347012814801</v>
      </c>
      <c r="L43" s="661">
        <v>16666.301775618158</v>
      </c>
      <c r="M43" s="691">
        <v>20063.988377311591</v>
      </c>
      <c r="N43" s="691">
        <v>21645.474389430336</v>
      </c>
      <c r="O43" s="314"/>
      <c r="P43" s="314"/>
    </row>
    <row r="44" spans="1:16" ht="20.25" customHeight="1">
      <c r="A44" s="220"/>
      <c r="B44" s="220"/>
      <c r="C44" s="220"/>
      <c r="D44" s="220"/>
      <c r="E44" s="220"/>
      <c r="F44" s="220"/>
      <c r="G44" s="220"/>
      <c r="H44" s="220"/>
      <c r="I44" s="220"/>
      <c r="J44" s="220"/>
      <c r="K44" s="220"/>
      <c r="L44" s="220"/>
      <c r="M44" s="220"/>
      <c r="N44" s="219"/>
    </row>
    <row r="45" spans="1:16">
      <c r="C45" s="1913"/>
      <c r="D45" s="1913"/>
      <c r="E45" s="1913"/>
      <c r="F45" s="1913"/>
      <c r="G45" s="1913"/>
      <c r="H45" s="1913"/>
      <c r="I45" s="1913"/>
      <c r="J45" s="1913"/>
      <c r="K45" s="1913"/>
      <c r="L45" s="1913"/>
      <c r="M45" s="1913"/>
      <c r="N45" s="1913"/>
    </row>
    <row r="46" spans="1:16">
      <c r="B46" s="3"/>
      <c r="C46" s="1913"/>
      <c r="D46" s="1913"/>
      <c r="E46" s="1913"/>
      <c r="F46" s="1913"/>
      <c r="G46" s="1913"/>
      <c r="H46" s="1913"/>
      <c r="I46" s="1913"/>
      <c r="J46" s="1913"/>
      <c r="K46" s="1913"/>
      <c r="L46" s="1913"/>
      <c r="M46" s="1913"/>
      <c r="N46" s="1913"/>
      <c r="P46" s="1914"/>
    </row>
    <row r="47" spans="1:16" ht="14.25">
      <c r="A47" s="318" t="s">
        <v>828</v>
      </c>
      <c r="B47" s="3"/>
      <c r="C47" s="3"/>
      <c r="D47" s="3"/>
      <c r="E47" s="3"/>
      <c r="F47" s="3"/>
      <c r="G47" s="3"/>
      <c r="H47" s="3"/>
      <c r="I47" s="3"/>
      <c r="J47" s="3"/>
      <c r="K47" s="3"/>
      <c r="L47" s="3"/>
      <c r="M47" s="3"/>
      <c r="N47" s="3"/>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U56"/>
  <sheetViews>
    <sheetView zoomScale="85" zoomScaleNormal="85" workbookViewId="0">
      <pane ySplit="12" topLeftCell="A27" activePane="bottomLeft" state="frozen"/>
      <selection activeCell="B12" sqref="B12"/>
      <selection pane="bottomLeft" activeCell="P37" sqref="P37"/>
    </sheetView>
  </sheetViews>
  <sheetFormatPr defaultColWidth="7.85546875" defaultRowHeight="12.75" outlineLevelCol="2"/>
  <cols>
    <col min="1" max="1" width="9.28515625" style="5" customWidth="1" outlineLevel="1" collapsed="1"/>
    <col min="2" max="2" width="9.28515625" style="5" customWidth="1" outlineLevel="2"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17" ht="18" customHeight="1">
      <c r="A1" s="16" t="s">
        <v>829</v>
      </c>
      <c r="B1" s="1"/>
      <c r="C1" s="1"/>
      <c r="D1" s="1"/>
      <c r="E1" s="1"/>
      <c r="F1" s="1"/>
      <c r="G1" s="1"/>
      <c r="H1" s="1"/>
      <c r="I1" s="1"/>
      <c r="J1" s="1"/>
      <c r="K1" s="1"/>
      <c r="L1" s="1"/>
      <c r="M1" s="1"/>
      <c r="N1" s="1"/>
      <c r="O1" s="1"/>
      <c r="P1" s="1"/>
      <c r="Q1" s="1"/>
    </row>
    <row r="2" spans="1:17" ht="18" customHeight="1">
      <c r="A2" s="16" t="s">
        <v>770</v>
      </c>
      <c r="B2" s="1"/>
      <c r="C2" s="1"/>
      <c r="D2" s="1"/>
      <c r="E2" s="1"/>
      <c r="F2" s="1"/>
      <c r="G2" s="1"/>
      <c r="H2" s="1"/>
      <c r="I2" s="1"/>
      <c r="J2" s="1"/>
      <c r="K2" s="1"/>
      <c r="L2" s="1"/>
      <c r="M2" s="1"/>
      <c r="N2" s="1"/>
      <c r="O2" s="1"/>
      <c r="P2" s="1"/>
      <c r="Q2" s="1"/>
    </row>
    <row r="3" spans="1:17" ht="18" customHeight="1">
      <c r="A3" s="16" t="s">
        <v>771</v>
      </c>
      <c r="B3" s="1"/>
      <c r="C3" s="1"/>
      <c r="D3" s="1"/>
      <c r="E3" s="1"/>
      <c r="F3" s="1"/>
      <c r="G3" s="1"/>
      <c r="H3" s="1"/>
      <c r="I3" s="1"/>
      <c r="J3" s="1"/>
      <c r="K3" s="1"/>
      <c r="L3" s="1"/>
      <c r="M3" s="1"/>
      <c r="N3" s="1"/>
      <c r="O3" s="7"/>
      <c r="P3" s="1896"/>
      <c r="Q3" s="7"/>
    </row>
    <row r="4" spans="1:17" ht="18" customHeight="1">
      <c r="A4" s="1747" t="s">
        <v>43</v>
      </c>
      <c r="B4" s="1"/>
      <c r="C4" s="1"/>
      <c r="D4" s="1"/>
      <c r="E4" s="1"/>
      <c r="F4" s="1"/>
      <c r="G4" s="1"/>
      <c r="H4" s="1"/>
      <c r="I4" s="1"/>
      <c r="J4" s="1"/>
      <c r="K4" s="1"/>
      <c r="L4" s="1"/>
      <c r="M4" s="1"/>
      <c r="N4" s="1"/>
      <c r="O4" s="1"/>
      <c r="P4" s="1"/>
      <c r="Q4" s="1"/>
    </row>
    <row r="5" spans="1:17" ht="18" customHeight="1">
      <c r="A5" s="1747" t="s">
        <v>42</v>
      </c>
      <c r="B5" s="1"/>
      <c r="C5" s="1"/>
      <c r="D5" s="1"/>
      <c r="E5" s="1"/>
      <c r="F5" s="1"/>
      <c r="G5" s="1"/>
      <c r="H5" s="1"/>
      <c r="I5" s="1"/>
      <c r="J5" s="1"/>
      <c r="K5" s="1"/>
      <c r="L5" s="1"/>
      <c r="M5" s="1"/>
      <c r="N5" s="1"/>
      <c r="O5" s="1"/>
      <c r="P5" s="1"/>
      <c r="Q5" s="1"/>
    </row>
    <row r="6" spans="1:17" ht="14.25" customHeight="1">
      <c r="A6" s="8" t="s">
        <v>373</v>
      </c>
      <c r="B6" s="7"/>
      <c r="P6" s="172"/>
      <c r="Q6" s="172" t="s">
        <v>374</v>
      </c>
    </row>
    <row r="7" spans="1:17" s="41" customFormat="1" ht="18" customHeight="1">
      <c r="A7" s="44"/>
      <c r="B7" s="45"/>
      <c r="C7" s="264" t="s">
        <v>830</v>
      </c>
      <c r="D7" s="123"/>
      <c r="E7" s="123"/>
      <c r="F7" s="123"/>
      <c r="G7" s="123"/>
      <c r="H7" s="123"/>
      <c r="I7" s="1762"/>
      <c r="J7" s="1897"/>
      <c r="K7" s="1762"/>
      <c r="L7" s="1749" t="s">
        <v>831</v>
      </c>
      <c r="M7" s="45"/>
      <c r="N7" s="43"/>
      <c r="O7" s="1898"/>
      <c r="P7" s="100"/>
      <c r="Q7" s="81"/>
    </row>
    <row r="8" spans="1:17" s="39" customFormat="1" ht="18" customHeight="1">
      <c r="A8" s="62"/>
      <c r="B8" s="60"/>
      <c r="C8" s="97" t="s">
        <v>395</v>
      </c>
      <c r="D8" s="55"/>
      <c r="E8" s="57" t="s">
        <v>832</v>
      </c>
      <c r="F8" s="66"/>
      <c r="G8" s="116"/>
      <c r="H8" s="116"/>
      <c r="I8" s="66" t="s">
        <v>504</v>
      </c>
      <c r="J8" s="98"/>
      <c r="K8" s="748" t="s">
        <v>386</v>
      </c>
      <c r="L8" s="113"/>
      <c r="M8" s="55" t="s">
        <v>833</v>
      </c>
      <c r="N8" s="54"/>
      <c r="O8" s="60" t="s">
        <v>834</v>
      </c>
      <c r="P8" s="60"/>
      <c r="Q8" s="74"/>
    </row>
    <row r="9" spans="1:17" s="39" customFormat="1" ht="18" customHeight="1">
      <c r="A9" s="24" t="s">
        <v>383</v>
      </c>
      <c r="B9" s="74"/>
      <c r="C9" s="97" t="s">
        <v>776</v>
      </c>
      <c r="D9" s="60"/>
      <c r="E9" s="62" t="s">
        <v>464</v>
      </c>
      <c r="F9" s="54"/>
      <c r="G9" s="55" t="s">
        <v>569</v>
      </c>
      <c r="H9" s="54"/>
      <c r="I9" s="55" t="s">
        <v>835</v>
      </c>
      <c r="J9" s="54"/>
      <c r="K9" s="55" t="s">
        <v>397</v>
      </c>
      <c r="L9" s="54"/>
      <c r="M9" s="55" t="s">
        <v>836</v>
      </c>
      <c r="N9" s="54"/>
      <c r="O9" s="60" t="s">
        <v>837</v>
      </c>
      <c r="P9" s="55"/>
      <c r="Q9" s="54"/>
    </row>
    <row r="10" spans="1:17" s="39" customFormat="1" ht="18" customHeight="1">
      <c r="A10" s="82" t="s">
        <v>391</v>
      </c>
      <c r="B10" s="60"/>
      <c r="C10" s="289"/>
      <c r="E10" s="62" t="s">
        <v>469</v>
      </c>
      <c r="F10" s="54"/>
      <c r="G10" s="55" t="s">
        <v>478</v>
      </c>
      <c r="H10" s="54"/>
      <c r="I10" s="55" t="s">
        <v>838</v>
      </c>
      <c r="J10" s="54"/>
      <c r="K10" s="289"/>
      <c r="L10" s="54"/>
      <c r="M10" s="69"/>
      <c r="N10" s="51"/>
      <c r="O10" s="55"/>
      <c r="P10" s="55"/>
      <c r="Q10" s="58"/>
    </row>
    <row r="11" spans="1:17" s="96" customFormat="1" ht="18" customHeight="1">
      <c r="A11" s="142"/>
      <c r="C11" s="290" t="s">
        <v>477</v>
      </c>
      <c r="D11" s="291" t="s">
        <v>393</v>
      </c>
      <c r="E11" s="290" t="s">
        <v>477</v>
      </c>
      <c r="F11" s="291" t="s">
        <v>393</v>
      </c>
      <c r="G11" s="290" t="s">
        <v>477</v>
      </c>
      <c r="H11" s="291" t="s">
        <v>393</v>
      </c>
      <c r="I11" s="290" t="s">
        <v>477</v>
      </c>
      <c r="J11" s="291" t="s">
        <v>393</v>
      </c>
      <c r="K11" s="290" t="s">
        <v>477</v>
      </c>
      <c r="L11" s="291" t="s">
        <v>393</v>
      </c>
      <c r="M11" s="290" t="s">
        <v>477</v>
      </c>
      <c r="N11" s="291" t="s">
        <v>393</v>
      </c>
      <c r="O11" s="290" t="s">
        <v>477</v>
      </c>
      <c r="P11" s="291" t="s">
        <v>393</v>
      </c>
      <c r="Q11" s="64" t="s">
        <v>386</v>
      </c>
    </row>
    <row r="12" spans="1:17" s="39" customFormat="1" ht="18" customHeight="1">
      <c r="A12" s="47"/>
      <c r="B12" s="66"/>
      <c r="C12" s="67" t="s">
        <v>149</v>
      </c>
      <c r="D12" s="49" t="s">
        <v>481</v>
      </c>
      <c r="E12" s="52" t="s">
        <v>149</v>
      </c>
      <c r="F12" s="52" t="s">
        <v>481</v>
      </c>
      <c r="G12" s="52" t="s">
        <v>149</v>
      </c>
      <c r="H12" s="52" t="s">
        <v>481</v>
      </c>
      <c r="I12" s="52" t="s">
        <v>149</v>
      </c>
      <c r="J12" s="52" t="s">
        <v>481</v>
      </c>
      <c r="K12" s="52" t="s">
        <v>149</v>
      </c>
      <c r="L12" s="52" t="s">
        <v>481</v>
      </c>
      <c r="M12" s="52" t="s">
        <v>149</v>
      </c>
      <c r="N12" s="52" t="s">
        <v>481</v>
      </c>
      <c r="O12" s="52" t="s">
        <v>149</v>
      </c>
      <c r="P12" s="52" t="s">
        <v>481</v>
      </c>
      <c r="Q12" s="52" t="s">
        <v>397</v>
      </c>
    </row>
    <row r="13" spans="1:17" s="306" customFormat="1" ht="20.25" customHeight="1">
      <c r="A13" s="405">
        <v>2015</v>
      </c>
      <c r="B13" s="516"/>
      <c r="C13" s="692">
        <v>1672.281885678</v>
      </c>
      <c r="D13" s="692">
        <v>179.36352555399998</v>
      </c>
      <c r="E13" s="692">
        <v>2110.35265351</v>
      </c>
      <c r="F13" s="692">
        <v>658.80836530932595</v>
      </c>
      <c r="G13" s="692">
        <v>2355.6805967839755</v>
      </c>
      <c r="H13" s="747">
        <v>157.191641207</v>
      </c>
      <c r="I13" s="659">
        <v>2979.7970079750003</v>
      </c>
      <c r="J13" s="692">
        <v>1255.8425372090001</v>
      </c>
      <c r="K13" s="659">
        <v>9118.1621439469745</v>
      </c>
      <c r="L13" s="692">
        <v>2251.2060692793257</v>
      </c>
      <c r="M13" s="747">
        <v>152.737800349</v>
      </c>
      <c r="N13" s="678">
        <v>4829.9228227470003</v>
      </c>
      <c r="O13" s="678">
        <v>9270.8799442959753</v>
      </c>
      <c r="P13" s="678">
        <v>7081.128892026326</v>
      </c>
      <c r="Q13" s="678">
        <v>16351.978836322302</v>
      </c>
    </row>
    <row r="14" spans="1:17" s="408" customFormat="1" ht="14.25" customHeight="1">
      <c r="A14" s="356">
        <v>2016</v>
      </c>
      <c r="B14" s="570"/>
      <c r="C14" s="1899">
        <v>1548.9306743479999</v>
      </c>
      <c r="D14" s="1899">
        <v>299.88302245900002</v>
      </c>
      <c r="E14" s="1899">
        <v>2138.2177681282806</v>
      </c>
      <c r="F14" s="1899">
        <v>642.39612286427302</v>
      </c>
      <c r="G14" s="1899">
        <v>2443.1577384605698</v>
      </c>
      <c r="H14" s="1900">
        <v>183.89637760749</v>
      </c>
      <c r="I14" s="1901">
        <v>2815.1366956491897</v>
      </c>
      <c r="J14" s="1899">
        <v>1409.8092395999436</v>
      </c>
      <c r="K14" s="1901">
        <v>8945.4428765860393</v>
      </c>
      <c r="L14" s="1899">
        <v>2535.9847625307066</v>
      </c>
      <c r="M14" s="1900">
        <v>158.0261041832</v>
      </c>
      <c r="N14" s="1902">
        <v>4928.5634138900705</v>
      </c>
      <c r="O14" s="1902">
        <v>9103.4489807692389</v>
      </c>
      <c r="P14" s="1902">
        <v>7464.5681764207766</v>
      </c>
      <c r="Q14" s="1902">
        <v>16568.017157190017</v>
      </c>
    </row>
    <row r="15" spans="1:17" s="408" customFormat="1" ht="14.25" customHeight="1">
      <c r="A15" s="356">
        <v>2017</v>
      </c>
      <c r="B15" s="570"/>
      <c r="C15" s="1899">
        <v>1658.5401377600001</v>
      </c>
      <c r="D15" s="1899">
        <v>257.598066604</v>
      </c>
      <c r="E15" s="1899">
        <v>2134.9269323283997</v>
      </c>
      <c r="F15" s="1899">
        <v>693.18820968432033</v>
      </c>
      <c r="G15" s="1899">
        <v>2741.7006905260005</v>
      </c>
      <c r="H15" s="1900">
        <v>229.279125158</v>
      </c>
      <c r="I15" s="1901">
        <v>2619.4627705481503</v>
      </c>
      <c r="J15" s="1899">
        <v>1649.1425237341805</v>
      </c>
      <c r="K15" s="1901">
        <v>9154.6305311625511</v>
      </c>
      <c r="L15" s="1899">
        <v>2829.2079251805008</v>
      </c>
      <c r="M15" s="1900">
        <v>172.2957792652</v>
      </c>
      <c r="N15" s="1902">
        <v>4827.4509329550283</v>
      </c>
      <c r="O15" s="1902">
        <v>9326.9063104277502</v>
      </c>
      <c r="P15" s="1902">
        <v>7656.6788581355286</v>
      </c>
      <c r="Q15" s="1902">
        <v>16983.585168563281</v>
      </c>
    </row>
    <row r="16" spans="1:17" s="321" customFormat="1" ht="14.25" customHeight="1">
      <c r="A16" s="770">
        <v>2018</v>
      </c>
      <c r="B16" s="771"/>
      <c r="C16" s="1159">
        <v>1480.339986448</v>
      </c>
      <c r="D16" s="1160">
        <v>290.56115872099997</v>
      </c>
      <c r="E16" s="1160">
        <v>2134.0426124744909</v>
      </c>
      <c r="F16" s="1161">
        <v>759.88987518958083</v>
      </c>
      <c r="G16" s="1160">
        <v>2696.6852895997249</v>
      </c>
      <c r="H16" s="1162">
        <v>195.01292367800005</v>
      </c>
      <c r="I16" s="821">
        <v>2688.1539384421294</v>
      </c>
      <c r="J16" s="1160">
        <v>1843.3839913000925</v>
      </c>
      <c r="K16" s="821">
        <v>8999.2218269643454</v>
      </c>
      <c r="L16" s="1160">
        <v>3088.8479488886733</v>
      </c>
      <c r="M16" s="1162">
        <v>199.76937123637001</v>
      </c>
      <c r="N16" s="1163">
        <v>5565.815441740473</v>
      </c>
      <c r="O16" s="1164">
        <v>9199.0011982007181</v>
      </c>
      <c r="P16" s="1164">
        <v>8654.6633906291463</v>
      </c>
      <c r="Q16" s="1164">
        <v>17853.664588829866</v>
      </c>
    </row>
    <row r="17" spans="1:21" s="321" customFormat="1" ht="14.25" customHeight="1">
      <c r="A17" s="770">
        <v>2019</v>
      </c>
      <c r="B17" s="771"/>
      <c r="C17" s="1159">
        <v>1257.1342190884593</v>
      </c>
      <c r="D17" s="1160">
        <v>358.38801689204217</v>
      </c>
      <c r="E17" s="1160">
        <v>2091.7532694730303</v>
      </c>
      <c r="F17" s="1161">
        <v>886.74787459117942</v>
      </c>
      <c r="G17" s="1160">
        <v>3048.325487999055</v>
      </c>
      <c r="H17" s="1162">
        <v>191.01886261499988</v>
      </c>
      <c r="I17" s="821">
        <v>3302.7551202315435</v>
      </c>
      <c r="J17" s="1160">
        <v>1996.459685033853</v>
      </c>
      <c r="K17" s="821">
        <v>9699.9680967920867</v>
      </c>
      <c r="L17" s="1160">
        <v>3432.6144391320745</v>
      </c>
      <c r="M17" s="1162">
        <v>210.41152702788196</v>
      </c>
      <c r="N17" s="1163">
        <v>4621.4441194674582</v>
      </c>
      <c r="O17" s="1164">
        <v>9910.3526238199702</v>
      </c>
      <c r="P17" s="1164">
        <v>8054.048558599533</v>
      </c>
      <c r="Q17" s="1164">
        <v>17964.401182419504</v>
      </c>
    </row>
    <row r="18" spans="1:21" s="321" customFormat="1" ht="14.25" customHeight="1">
      <c r="A18" s="770">
        <v>2020</v>
      </c>
      <c r="B18" s="771"/>
      <c r="C18" s="1159">
        <v>1081.9570317456701</v>
      </c>
      <c r="D18" s="1160">
        <v>224.40211251746001</v>
      </c>
      <c r="E18" s="1160">
        <v>2328.1221359915426</v>
      </c>
      <c r="F18" s="1161">
        <v>959.86336410280069</v>
      </c>
      <c r="G18" s="1160">
        <v>3507.4906951062749</v>
      </c>
      <c r="H18" s="1162">
        <v>231.74947660960973</v>
      </c>
      <c r="I18" s="821">
        <v>3528.435897748966</v>
      </c>
      <c r="J18" s="1160">
        <v>1691.386500907136</v>
      </c>
      <c r="K18" s="821">
        <v>10446.005760592454</v>
      </c>
      <c r="L18" s="1160">
        <v>3107.4014541370061</v>
      </c>
      <c r="M18" s="1162">
        <v>331.57058985018591</v>
      </c>
      <c r="N18" s="1163">
        <v>3023.2817317133336</v>
      </c>
      <c r="O18" s="1164">
        <v>10777.57635044264</v>
      </c>
      <c r="P18" s="1164">
        <v>6130.683185850341</v>
      </c>
      <c r="Q18" s="1164">
        <v>16908.259536292979</v>
      </c>
    </row>
    <row r="19" spans="1:21" s="321" customFormat="1" ht="14.25" customHeight="1">
      <c r="A19" s="770">
        <v>2021</v>
      </c>
      <c r="B19" s="771"/>
      <c r="C19" s="1159">
        <v>1041.4710969366899</v>
      </c>
      <c r="D19" s="1160">
        <v>173.75944270008301</v>
      </c>
      <c r="E19" s="1160">
        <v>2666.689602116322</v>
      </c>
      <c r="F19" s="1161">
        <v>1285.2737384625063</v>
      </c>
      <c r="G19" s="1160">
        <v>3610.3189297937374</v>
      </c>
      <c r="H19" s="1162">
        <v>259.34545124998215</v>
      </c>
      <c r="I19" s="821">
        <v>3499.323623725405</v>
      </c>
      <c r="J19" s="1160">
        <v>1586.50889359958</v>
      </c>
      <c r="K19" s="821">
        <v>10817.803252572154</v>
      </c>
      <c r="L19" s="1160">
        <v>3304.8875260121513</v>
      </c>
      <c r="M19" s="1162">
        <v>391.01793156305098</v>
      </c>
      <c r="N19" s="1163">
        <v>4190.5017962952907</v>
      </c>
      <c r="O19" s="1164">
        <v>11208.822638727876</v>
      </c>
      <c r="P19" s="1164">
        <v>7495.3793223074426</v>
      </c>
      <c r="Q19" s="1164">
        <v>18704.20196103532</v>
      </c>
    </row>
    <row r="20" spans="1:21" s="321" customFormat="1" ht="14.25" customHeight="1">
      <c r="A20" s="770">
        <v>2022</v>
      </c>
      <c r="B20" s="771"/>
      <c r="C20" s="1159">
        <v>961.93349337529401</v>
      </c>
      <c r="D20" s="1160">
        <v>182.31648988007402</v>
      </c>
      <c r="E20" s="1160">
        <v>2556.7957736024409</v>
      </c>
      <c r="F20" s="1161">
        <v>841.75001970968094</v>
      </c>
      <c r="G20" s="1160">
        <v>3393.5900549115768</v>
      </c>
      <c r="H20" s="1162">
        <v>200.4598927488075</v>
      </c>
      <c r="I20" s="821">
        <v>4264.596167492301</v>
      </c>
      <c r="J20" s="1160">
        <v>2221.0401120913266</v>
      </c>
      <c r="K20" s="821">
        <v>11176.915489381612</v>
      </c>
      <c r="L20" s="1160">
        <v>3445.5665144298891</v>
      </c>
      <c r="M20" s="1162">
        <v>179.09739111790901</v>
      </c>
      <c r="N20" s="1163">
        <v>4202.1257780628021</v>
      </c>
      <c r="O20" s="1164">
        <v>11356.012880499522</v>
      </c>
      <c r="P20" s="1164">
        <v>7647.6922924926912</v>
      </c>
      <c r="Q20" s="1164">
        <v>19003.705172992213</v>
      </c>
    </row>
    <row r="21" spans="1:21" s="321" customFormat="1" ht="14.25" customHeight="1">
      <c r="A21" s="770">
        <v>2023</v>
      </c>
      <c r="B21" s="771"/>
      <c r="C21" s="1159">
        <f t="shared" ref="C21:J21" si="0">C26</f>
        <v>1056.279673792</v>
      </c>
      <c r="D21" s="1160">
        <f t="shared" si="0"/>
        <v>217.27361716869999</v>
      </c>
      <c r="E21" s="1160">
        <f t="shared" si="0"/>
        <v>2301.4138427349267</v>
      </c>
      <c r="F21" s="1161">
        <f t="shared" si="0"/>
        <v>906.12758700814038</v>
      </c>
      <c r="G21" s="1160">
        <f t="shared" si="0"/>
        <v>3194.2141857224365</v>
      </c>
      <c r="H21" s="1162">
        <f t="shared" si="0"/>
        <v>182.99446041840395</v>
      </c>
      <c r="I21" s="821">
        <f t="shared" si="0"/>
        <v>5132.3355111869841</v>
      </c>
      <c r="J21" s="1160">
        <f t="shared" si="0"/>
        <v>2440.9893837544951</v>
      </c>
      <c r="K21" s="821">
        <f>C21+E21+G21+I21</f>
        <v>11684.243213436348</v>
      </c>
      <c r="L21" s="1160">
        <f>D21+F21+H21+J21</f>
        <v>3747.3850483497395</v>
      </c>
      <c r="M21" s="1162">
        <f>M26</f>
        <v>235.55873632494399</v>
      </c>
      <c r="N21" s="1163">
        <f>N26</f>
        <v>4537.4253095855202</v>
      </c>
      <c r="O21" s="1164">
        <f>O26</f>
        <v>11919.76194976129</v>
      </c>
      <c r="P21" s="1164">
        <f>P26</f>
        <v>8284.8103579352592</v>
      </c>
      <c r="Q21" s="1164">
        <f>Q26</f>
        <v>20204.572307696551</v>
      </c>
    </row>
    <row r="22" spans="1:21" s="321" customFormat="1" ht="14.25" customHeight="1">
      <c r="A22" s="930">
        <v>2024</v>
      </c>
      <c r="B22" s="1025"/>
      <c r="C22" s="1062">
        <f t="shared" ref="C22:J22" si="1">C30</f>
        <v>1176.4316482677691</v>
      </c>
      <c r="D22" s="1063">
        <f t="shared" si="1"/>
        <v>289.86764528721</v>
      </c>
      <c r="E22" s="1335">
        <f t="shared" si="1"/>
        <v>2399.5337979070973</v>
      </c>
      <c r="F22" s="1064">
        <f t="shared" si="1"/>
        <v>864.35137019574063</v>
      </c>
      <c r="G22" s="1063">
        <f t="shared" si="1"/>
        <v>3259.9030249683547</v>
      </c>
      <c r="H22" s="1065">
        <f t="shared" si="1"/>
        <v>179.94128493294113</v>
      </c>
      <c r="I22" s="1056">
        <f t="shared" si="1"/>
        <v>5294.9501025819318</v>
      </c>
      <c r="J22" s="1063">
        <f t="shared" si="1"/>
        <v>2214.8057457218047</v>
      </c>
      <c r="K22" s="1056">
        <f>C22+E22+G22+I22</f>
        <v>12130.818573725153</v>
      </c>
      <c r="L22" s="1063">
        <f>D22+F22+H22+J22</f>
        <v>3548.9660461376966</v>
      </c>
      <c r="M22" s="1065">
        <f>M30</f>
        <v>343.08991306068793</v>
      </c>
      <c r="N22" s="1066">
        <f>N30</f>
        <v>4547.426484782296</v>
      </c>
      <c r="O22" s="1067">
        <f>O30</f>
        <v>12473.908486785842</v>
      </c>
      <c r="P22" s="1067">
        <f>P30</f>
        <v>8096.4225309199928</v>
      </c>
      <c r="Q22" s="1067">
        <f>Q30</f>
        <v>20570.331017705834</v>
      </c>
    </row>
    <row r="23" spans="1:21" s="321" customFormat="1" ht="21" customHeight="1">
      <c r="A23" s="770">
        <v>2023</v>
      </c>
      <c r="B23" s="771" t="s">
        <v>243</v>
      </c>
      <c r="C23" s="1159">
        <v>987.04323771635109</v>
      </c>
      <c r="D23" s="1160">
        <v>138.94143840612801</v>
      </c>
      <c r="E23" s="1160">
        <v>2412.1579539928089</v>
      </c>
      <c r="F23" s="1161">
        <v>966.3743155553675</v>
      </c>
      <c r="G23" s="1160">
        <v>3362.2900498608451</v>
      </c>
      <c r="H23" s="1162">
        <v>273.5764719169365</v>
      </c>
      <c r="I23" s="821">
        <v>4653.2984621887736</v>
      </c>
      <c r="J23" s="1160">
        <v>2337.7326590054645</v>
      </c>
      <c r="K23" s="821">
        <v>11414.799703758777</v>
      </c>
      <c r="L23" s="1160">
        <v>3716.6248848838964</v>
      </c>
      <c r="M23" s="1162">
        <v>158.44228527349102</v>
      </c>
      <c r="N23" s="1163">
        <v>4161.3031846680324</v>
      </c>
      <c r="O23" s="1164">
        <v>11573.241989032269</v>
      </c>
      <c r="P23" s="1164">
        <v>7877.9280695519283</v>
      </c>
      <c r="Q23" s="1164">
        <v>19451.140058584198</v>
      </c>
    </row>
    <row r="24" spans="1:21" s="321" customFormat="1" ht="15">
      <c r="A24" s="770"/>
      <c r="B24" s="771" t="s">
        <v>244</v>
      </c>
      <c r="C24" s="1159">
        <v>1025.7785283180001</v>
      </c>
      <c r="D24" s="1160">
        <v>231.28128341727995</v>
      </c>
      <c r="E24" s="1160">
        <v>2316.7084388532571</v>
      </c>
      <c r="F24" s="1161">
        <v>672.18756402166923</v>
      </c>
      <c r="G24" s="1160">
        <v>3245.2384625677623</v>
      </c>
      <c r="H24" s="1162">
        <v>182.17811635903064</v>
      </c>
      <c r="I24" s="821">
        <v>4827.8655002738242</v>
      </c>
      <c r="J24" s="1160">
        <v>2648.4355422564222</v>
      </c>
      <c r="K24" s="821">
        <v>11415.620930012845</v>
      </c>
      <c r="L24" s="1160">
        <v>3734.1125060544023</v>
      </c>
      <c r="M24" s="1162">
        <v>185.37370342557898</v>
      </c>
      <c r="N24" s="1163">
        <v>4101.8566207847216</v>
      </c>
      <c r="O24" s="1164">
        <v>11600.994633438424</v>
      </c>
      <c r="P24" s="1164">
        <v>7835.9691268391234</v>
      </c>
      <c r="Q24" s="1164">
        <v>19436.963760277547</v>
      </c>
    </row>
    <row r="25" spans="1:21" s="321" customFormat="1" ht="15">
      <c r="A25" s="770"/>
      <c r="B25" s="771" t="s">
        <v>245</v>
      </c>
      <c r="C25" s="1159">
        <v>1059.441940462</v>
      </c>
      <c r="D25" s="1160">
        <v>222.32241347314999</v>
      </c>
      <c r="E25" s="1903">
        <v>2293.0560053465651</v>
      </c>
      <c r="F25" s="1161">
        <v>714.7812355535782</v>
      </c>
      <c r="G25" s="1160">
        <v>3125.1337752843724</v>
      </c>
      <c r="H25" s="1162">
        <v>166.21416208296142</v>
      </c>
      <c r="I25" s="821">
        <v>5043.8523556113314</v>
      </c>
      <c r="J25" s="1160">
        <v>2512.2016168217065</v>
      </c>
      <c r="K25" s="821">
        <v>11521.48407670427</v>
      </c>
      <c r="L25" s="1160">
        <v>3615.5194279313964</v>
      </c>
      <c r="M25" s="1162">
        <v>199.32211810433398</v>
      </c>
      <c r="N25" s="1163">
        <v>4345.9070218465467</v>
      </c>
      <c r="O25" s="1164">
        <v>11720.806194808603</v>
      </c>
      <c r="P25" s="1164">
        <v>7961.4264497779432</v>
      </c>
      <c r="Q25" s="1164">
        <v>19682.232644586547</v>
      </c>
    </row>
    <row r="26" spans="1:21" s="321" customFormat="1" ht="15">
      <c r="A26" s="770"/>
      <c r="B26" s="771" t="s">
        <v>242</v>
      </c>
      <c r="C26" s="1159">
        <v>1056.279673792</v>
      </c>
      <c r="D26" s="1160">
        <v>217.27361716869999</v>
      </c>
      <c r="E26" s="1160">
        <v>2301.4138427349267</v>
      </c>
      <c r="F26" s="1161">
        <v>906.12758700814038</v>
      </c>
      <c r="G26" s="1160">
        <v>3194.2141857224365</v>
      </c>
      <c r="H26" s="1162">
        <v>182.99446041840395</v>
      </c>
      <c r="I26" s="821">
        <v>5132.3355111869841</v>
      </c>
      <c r="J26" s="1160">
        <v>2440.9893837544951</v>
      </c>
      <c r="K26" s="821">
        <v>11684.213213436347</v>
      </c>
      <c r="L26" s="1160">
        <v>3747.3850483497395</v>
      </c>
      <c r="M26" s="1162">
        <v>235.55873632494399</v>
      </c>
      <c r="N26" s="1163">
        <v>4537.4253095855202</v>
      </c>
      <c r="O26" s="1164">
        <v>11919.76194976129</v>
      </c>
      <c r="P26" s="1164">
        <v>8284.8103579352592</v>
      </c>
      <c r="Q26" s="1164">
        <v>20204.572307696551</v>
      </c>
    </row>
    <row r="27" spans="1:21" s="321" customFormat="1" ht="21" customHeight="1">
      <c r="A27" s="770">
        <v>2024</v>
      </c>
      <c r="B27" s="771" t="s">
        <v>243</v>
      </c>
      <c r="C27" s="1159">
        <f t="shared" ref="C27:Q27" si="2">C34</f>
        <v>1004.3612343699997</v>
      </c>
      <c r="D27" s="1160">
        <f t="shared" si="2"/>
        <v>189.57174030868001</v>
      </c>
      <c r="E27" s="1160">
        <f t="shared" si="2"/>
        <v>2275.5877113516635</v>
      </c>
      <c r="F27" s="1161">
        <f t="shared" si="2"/>
        <v>868.13153155032103</v>
      </c>
      <c r="G27" s="1160">
        <f t="shared" si="2"/>
        <v>3201.7544055267499</v>
      </c>
      <c r="H27" s="1162">
        <f t="shared" si="2"/>
        <v>166.76154327478247</v>
      </c>
      <c r="I27" s="821">
        <f t="shared" si="2"/>
        <v>5124.8427531609814</v>
      </c>
      <c r="J27" s="1160">
        <f t="shared" si="2"/>
        <v>2250.4079805312081</v>
      </c>
      <c r="K27" s="821">
        <f t="shared" si="2"/>
        <v>11606.556104409394</v>
      </c>
      <c r="L27" s="1160">
        <f t="shared" si="2"/>
        <v>3474.8727956649918</v>
      </c>
      <c r="M27" s="1162">
        <f t="shared" si="2"/>
        <v>248.34065278269202</v>
      </c>
      <c r="N27" s="1163">
        <f t="shared" si="2"/>
        <v>4899.031442430658</v>
      </c>
      <c r="O27" s="1164">
        <f t="shared" si="2"/>
        <v>11854.886757192085</v>
      </c>
      <c r="P27" s="1163">
        <f t="shared" si="2"/>
        <v>8373.9042380956489</v>
      </c>
      <c r="Q27" s="1164">
        <f t="shared" si="2"/>
        <v>20228.790995287738</v>
      </c>
    </row>
    <row r="28" spans="1:21" s="321" customFormat="1" ht="15" customHeight="1">
      <c r="A28" s="770"/>
      <c r="B28" s="771" t="s">
        <v>244</v>
      </c>
      <c r="C28" s="1159">
        <f t="shared" ref="C28:Q28" si="3">C37</f>
        <v>1067.460948979</v>
      </c>
      <c r="D28" s="1160">
        <f t="shared" si="3"/>
        <v>244.02706523149999</v>
      </c>
      <c r="E28" s="1160">
        <f t="shared" si="3"/>
        <v>2261.4105805440267</v>
      </c>
      <c r="F28" s="1161">
        <f t="shared" si="3"/>
        <v>969.81171524381875</v>
      </c>
      <c r="G28" s="1160">
        <f t="shared" si="3"/>
        <v>3221.7371732468819</v>
      </c>
      <c r="H28" s="1162">
        <f t="shared" si="3"/>
        <v>163.69287733205965</v>
      </c>
      <c r="I28" s="821">
        <f t="shared" si="3"/>
        <v>5344.2122318693882</v>
      </c>
      <c r="J28" s="1160">
        <f t="shared" si="3"/>
        <v>2191.1647682121102</v>
      </c>
      <c r="K28" s="821">
        <f t="shared" si="3"/>
        <v>11894.840934639296</v>
      </c>
      <c r="L28" s="1160">
        <f t="shared" si="3"/>
        <v>3568.6764260194886</v>
      </c>
      <c r="M28" s="1162">
        <f t="shared" si="3"/>
        <v>227.57734005926702</v>
      </c>
      <c r="N28" s="1163">
        <f t="shared" si="3"/>
        <v>4575.8096869108622</v>
      </c>
      <c r="O28" s="1164">
        <f t="shared" si="3"/>
        <v>12122.418274698563</v>
      </c>
      <c r="P28" s="1163">
        <f t="shared" si="3"/>
        <v>8144.4861129303508</v>
      </c>
      <c r="Q28" s="1164">
        <f t="shared" si="3"/>
        <v>20266.904387628914</v>
      </c>
    </row>
    <row r="29" spans="1:21" s="321" customFormat="1" ht="15" customHeight="1">
      <c r="A29" s="770"/>
      <c r="B29" s="771" t="s">
        <v>245</v>
      </c>
      <c r="C29" s="1159">
        <f t="shared" ref="C29:Q29" si="4">C40</f>
        <v>1171.0719388690002</v>
      </c>
      <c r="D29" s="1160">
        <f t="shared" si="4"/>
        <v>313.48307779378001</v>
      </c>
      <c r="E29" s="1160">
        <f t="shared" si="4"/>
        <v>2356.7583426634824</v>
      </c>
      <c r="F29" s="1161">
        <f t="shared" si="4"/>
        <v>940.50855098862485</v>
      </c>
      <c r="G29" s="1160">
        <f t="shared" si="4"/>
        <v>3250.1081260922151</v>
      </c>
      <c r="H29" s="1162">
        <f t="shared" si="4"/>
        <v>156.30962390531471</v>
      </c>
      <c r="I29" s="821">
        <f t="shared" si="4"/>
        <v>5435.1125611166635</v>
      </c>
      <c r="J29" s="1160">
        <f t="shared" si="4"/>
        <v>2451.1113210538106</v>
      </c>
      <c r="K29" s="821">
        <f t="shared" si="4"/>
        <v>12213.06096874136</v>
      </c>
      <c r="L29" s="1160">
        <f t="shared" si="4"/>
        <v>3861.4125737415302</v>
      </c>
      <c r="M29" s="1162">
        <f t="shared" si="4"/>
        <v>250.98711350764802</v>
      </c>
      <c r="N29" s="1163">
        <f t="shared" si="4"/>
        <v>4798.915650237619</v>
      </c>
      <c r="O29" s="1164">
        <f t="shared" si="4"/>
        <v>12464.058082249008</v>
      </c>
      <c r="P29" s="1163">
        <f t="shared" si="4"/>
        <v>8660.3282239791497</v>
      </c>
      <c r="Q29" s="1164">
        <f t="shared" si="4"/>
        <v>21124.376306228158</v>
      </c>
    </row>
    <row r="30" spans="1:21" s="321" customFormat="1" ht="15" customHeight="1">
      <c r="A30" s="930"/>
      <c r="B30" s="1025" t="s">
        <v>242</v>
      </c>
      <c r="C30" s="1062">
        <f t="shared" ref="C30:Q30" si="5">C43</f>
        <v>1176.4316482677691</v>
      </c>
      <c r="D30" s="1063">
        <f t="shared" si="5"/>
        <v>289.86764528721</v>
      </c>
      <c r="E30" s="1063">
        <f t="shared" si="5"/>
        <v>2399.5337979070973</v>
      </c>
      <c r="F30" s="1064">
        <f t="shared" si="5"/>
        <v>864.35137019574063</v>
      </c>
      <c r="G30" s="1063">
        <f t="shared" si="5"/>
        <v>3259.9030249683547</v>
      </c>
      <c r="H30" s="1065">
        <f t="shared" si="5"/>
        <v>179.94128493294113</v>
      </c>
      <c r="I30" s="1056">
        <f t="shared" si="5"/>
        <v>5294.9501025819318</v>
      </c>
      <c r="J30" s="1063">
        <f t="shared" si="5"/>
        <v>2214.8057457218047</v>
      </c>
      <c r="K30" s="1056">
        <f t="shared" si="5"/>
        <v>12130.818573725153</v>
      </c>
      <c r="L30" s="1063">
        <f t="shared" si="5"/>
        <v>3548.9960461376968</v>
      </c>
      <c r="M30" s="1065">
        <f t="shared" si="5"/>
        <v>343.08991306068793</v>
      </c>
      <c r="N30" s="1066">
        <f t="shared" si="5"/>
        <v>4547.426484782296</v>
      </c>
      <c r="O30" s="1067">
        <f t="shared" si="5"/>
        <v>12473.908486785842</v>
      </c>
      <c r="P30" s="1066">
        <f t="shared" si="5"/>
        <v>8096.4225309199928</v>
      </c>
      <c r="Q30" s="1067">
        <f t="shared" si="5"/>
        <v>20570.331017705834</v>
      </c>
    </row>
    <row r="31" spans="1:21" s="306" customFormat="1" ht="21" customHeight="1">
      <c r="A31" s="405">
        <v>2023</v>
      </c>
      <c r="B31" s="516" t="s">
        <v>426</v>
      </c>
      <c r="C31" s="818">
        <v>1056.279673792</v>
      </c>
      <c r="D31" s="692">
        <v>217.27361716869999</v>
      </c>
      <c r="E31" s="692">
        <v>2301.4138427349267</v>
      </c>
      <c r="F31" s="697">
        <v>906.12758700814038</v>
      </c>
      <c r="G31" s="692">
        <v>3194.2141857224365</v>
      </c>
      <c r="H31" s="747">
        <v>182.99446041840395</v>
      </c>
      <c r="I31" s="659">
        <v>5132.3355111869841</v>
      </c>
      <c r="J31" s="692">
        <v>2440.9893837544951</v>
      </c>
      <c r="K31" s="659">
        <v>11684.213213436347</v>
      </c>
      <c r="L31" s="692">
        <v>3747.3850483497395</v>
      </c>
      <c r="M31" s="747">
        <v>235.55873632494399</v>
      </c>
      <c r="N31" s="678">
        <v>4537.4253095855202</v>
      </c>
      <c r="O31" s="662">
        <v>11919.76194976129</v>
      </c>
      <c r="P31" s="662">
        <v>8284.8103579352592</v>
      </c>
      <c r="Q31" s="678">
        <v>20204.572307696551</v>
      </c>
      <c r="R31" s="995"/>
      <c r="S31" s="995"/>
      <c r="T31" s="995"/>
      <c r="U31" s="995"/>
    </row>
    <row r="32" spans="1:21" s="306" customFormat="1" ht="21" customHeight="1">
      <c r="A32" s="405">
        <v>2024</v>
      </c>
      <c r="B32" s="516" t="s">
        <v>427</v>
      </c>
      <c r="C32" s="818">
        <v>993.45005942299986</v>
      </c>
      <c r="D32" s="692">
        <v>203.93511175660001</v>
      </c>
      <c r="E32" s="692">
        <v>2214.7022857085008</v>
      </c>
      <c r="F32" s="697">
        <v>833.33631055916885</v>
      </c>
      <c r="G32" s="692">
        <v>3167.1500871248136</v>
      </c>
      <c r="H32" s="747">
        <v>185.50699061905766</v>
      </c>
      <c r="I32" s="659">
        <v>5190.8182982848157</v>
      </c>
      <c r="J32" s="692">
        <v>2465.0560939091247</v>
      </c>
      <c r="K32" s="659">
        <v>11566.150730541131</v>
      </c>
      <c r="L32" s="692">
        <v>3687.7645068439506</v>
      </c>
      <c r="M32" s="747">
        <v>253.33412814213798</v>
      </c>
      <c r="N32" s="678">
        <v>4711.9991862054621</v>
      </c>
      <c r="O32" s="662">
        <v>11819.454858683268</v>
      </c>
      <c r="P32" s="662">
        <v>8399.7636930494118</v>
      </c>
      <c r="Q32" s="678">
        <v>20219.268551732679</v>
      </c>
      <c r="R32" s="995"/>
      <c r="S32" s="995"/>
      <c r="T32" s="995"/>
      <c r="U32" s="995"/>
    </row>
    <row r="33" spans="1:21" s="306" customFormat="1" ht="16.5" customHeight="1">
      <c r="A33" s="405"/>
      <c r="B33" s="516" t="s">
        <v>416</v>
      </c>
      <c r="C33" s="818">
        <v>991.82859586199982</v>
      </c>
      <c r="D33" s="692">
        <v>235.84736731302999</v>
      </c>
      <c r="E33" s="692">
        <v>2253.4754747883744</v>
      </c>
      <c r="F33" s="697">
        <v>916.29535410378253</v>
      </c>
      <c r="G33" s="692">
        <v>3205.1095280782711</v>
      </c>
      <c r="H33" s="747">
        <v>159.28262534387801</v>
      </c>
      <c r="I33" s="659">
        <v>5151.3711949607441</v>
      </c>
      <c r="J33" s="692">
        <v>2258.7607408604749</v>
      </c>
      <c r="K33" s="659">
        <v>11601.784793689389</v>
      </c>
      <c r="L33" s="692">
        <v>3570.1860876211654</v>
      </c>
      <c r="M33" s="747">
        <v>252.64183458329003</v>
      </c>
      <c r="N33" s="678">
        <v>4598.1121289555558</v>
      </c>
      <c r="O33" s="662">
        <v>11854.446628272679</v>
      </c>
      <c r="P33" s="662">
        <v>8168.2982165767207</v>
      </c>
      <c r="Q33" s="678">
        <v>20022.7448448494</v>
      </c>
      <c r="R33" s="995"/>
      <c r="S33" s="995"/>
      <c r="T33" s="995"/>
      <c r="U33" s="995"/>
    </row>
    <row r="34" spans="1:21" s="306" customFormat="1" ht="16.5" customHeight="1">
      <c r="A34" s="405"/>
      <c r="B34" s="516" t="s">
        <v>417</v>
      </c>
      <c r="C34" s="818">
        <v>1004.3612343699997</v>
      </c>
      <c r="D34" s="692">
        <v>189.57174030868001</v>
      </c>
      <c r="E34" s="692">
        <v>2275.5877113516635</v>
      </c>
      <c r="F34" s="697">
        <v>868.13153155032103</v>
      </c>
      <c r="G34" s="692">
        <v>3201.7544055267499</v>
      </c>
      <c r="H34" s="747">
        <v>166.76154327478247</v>
      </c>
      <c r="I34" s="659">
        <v>5124.8427531609814</v>
      </c>
      <c r="J34" s="692">
        <v>2250.4079805312081</v>
      </c>
      <c r="K34" s="659">
        <v>11606.556104409394</v>
      </c>
      <c r="L34" s="692">
        <v>3474.8727956649918</v>
      </c>
      <c r="M34" s="747">
        <v>248.34065278269202</v>
      </c>
      <c r="N34" s="678">
        <v>4899.031442430658</v>
      </c>
      <c r="O34" s="662">
        <v>11854.886757192085</v>
      </c>
      <c r="P34" s="662">
        <v>8373.9042380956489</v>
      </c>
      <c r="Q34" s="678">
        <v>20228.790995287738</v>
      </c>
      <c r="R34" s="995"/>
      <c r="S34" s="995"/>
      <c r="T34" s="995"/>
      <c r="U34" s="995"/>
    </row>
    <row r="35" spans="1:21" s="306" customFormat="1" ht="16.5" customHeight="1">
      <c r="A35" s="405"/>
      <c r="B35" s="516" t="s">
        <v>418</v>
      </c>
      <c r="C35" s="818">
        <v>1048.7970709049998</v>
      </c>
      <c r="D35" s="692">
        <v>209.49941355246</v>
      </c>
      <c r="E35" s="692">
        <v>2317.3070501580814</v>
      </c>
      <c r="F35" s="697">
        <v>891.07439294211611</v>
      </c>
      <c r="G35" s="692">
        <v>3184.8495472049999</v>
      </c>
      <c r="H35" s="747">
        <v>157.39550733066099</v>
      </c>
      <c r="I35" s="659">
        <v>5190.713545177272</v>
      </c>
      <c r="J35" s="692">
        <v>2148.2021235945958</v>
      </c>
      <c r="K35" s="659">
        <v>11741.637213445352</v>
      </c>
      <c r="L35" s="692">
        <v>3406.1714374198332</v>
      </c>
      <c r="M35" s="747">
        <v>252.05350100785597</v>
      </c>
      <c r="N35" s="678">
        <v>4698.7209520941433</v>
      </c>
      <c r="O35" s="662">
        <v>11993.720714453209</v>
      </c>
      <c r="P35" s="662">
        <v>8104.892389513976</v>
      </c>
      <c r="Q35" s="678">
        <v>20098.613103967185</v>
      </c>
      <c r="R35" s="995"/>
      <c r="S35" s="995"/>
      <c r="T35" s="995"/>
      <c r="U35" s="995"/>
    </row>
    <row r="36" spans="1:21" s="306" customFormat="1" ht="16.5" customHeight="1">
      <c r="A36" s="405"/>
      <c r="B36" s="516" t="s">
        <v>419</v>
      </c>
      <c r="C36" s="818">
        <v>1111.4922526320001</v>
      </c>
      <c r="D36" s="692">
        <v>227.90099835226999</v>
      </c>
      <c r="E36" s="692">
        <v>2287.1110622440528</v>
      </c>
      <c r="F36" s="697">
        <v>840.25311634417187</v>
      </c>
      <c r="G36" s="692">
        <v>3203.8164056796259</v>
      </c>
      <c r="H36" s="747">
        <v>155.11839812646789</v>
      </c>
      <c r="I36" s="659">
        <v>5270.6226412541673</v>
      </c>
      <c r="J36" s="692">
        <v>2154.4917729389376</v>
      </c>
      <c r="K36" s="659">
        <v>11873.042361809847</v>
      </c>
      <c r="L36" s="692">
        <v>3377.7642857618475</v>
      </c>
      <c r="M36" s="747">
        <v>247.38893592385702</v>
      </c>
      <c r="N36" s="678">
        <v>5135.7452017735304</v>
      </c>
      <c r="O36" s="662">
        <v>12120.431297733703</v>
      </c>
      <c r="P36" s="662">
        <v>8513.5094875353789</v>
      </c>
      <c r="Q36" s="678">
        <v>20633.940785269082</v>
      </c>
      <c r="R36" s="995"/>
      <c r="S36" s="995"/>
      <c r="T36" s="995"/>
      <c r="U36" s="995"/>
    </row>
    <row r="37" spans="1:21" s="306" customFormat="1" ht="16.5" customHeight="1">
      <c r="A37" s="405"/>
      <c r="B37" s="516" t="s">
        <v>420</v>
      </c>
      <c r="C37" s="818">
        <v>1067.460948979</v>
      </c>
      <c r="D37" s="692">
        <v>244.02706523149999</v>
      </c>
      <c r="E37" s="692">
        <v>2261.4105805440267</v>
      </c>
      <c r="F37" s="697">
        <v>969.81171524381875</v>
      </c>
      <c r="G37" s="692">
        <v>3221.7371732468819</v>
      </c>
      <c r="H37" s="747">
        <v>163.69287733205965</v>
      </c>
      <c r="I37" s="659">
        <v>5344.2122318693882</v>
      </c>
      <c r="J37" s="692">
        <v>2191.1647682121102</v>
      </c>
      <c r="K37" s="659">
        <v>11894.840934639296</v>
      </c>
      <c r="L37" s="692">
        <v>3568.6764260194886</v>
      </c>
      <c r="M37" s="747">
        <v>227.57734005926702</v>
      </c>
      <c r="N37" s="678">
        <v>4575.8096869108622</v>
      </c>
      <c r="O37" s="662">
        <v>12122.418274698563</v>
      </c>
      <c r="P37" s="662">
        <v>8144.4861129303508</v>
      </c>
      <c r="Q37" s="678">
        <v>20266.904387628914</v>
      </c>
      <c r="R37" s="995"/>
      <c r="S37" s="995"/>
      <c r="T37" s="995"/>
      <c r="U37" s="995"/>
    </row>
    <row r="38" spans="1:21" s="306" customFormat="1" ht="16.5" customHeight="1">
      <c r="A38" s="405"/>
      <c r="B38" s="516" t="s">
        <v>421</v>
      </c>
      <c r="C38" s="818">
        <v>1073.652855545</v>
      </c>
      <c r="D38" s="692">
        <v>227.36914845455999</v>
      </c>
      <c r="E38" s="692">
        <v>2266.0568746977533</v>
      </c>
      <c r="F38" s="697">
        <v>1082.0910318453437</v>
      </c>
      <c r="G38" s="692">
        <v>3205.4383740823814</v>
      </c>
      <c r="H38" s="747">
        <v>163.41964822657445</v>
      </c>
      <c r="I38" s="659">
        <v>5239.9164721791813</v>
      </c>
      <c r="J38" s="692">
        <v>2272.8835282715099</v>
      </c>
      <c r="K38" s="659">
        <v>11785.064576504315</v>
      </c>
      <c r="L38" s="692">
        <v>3745.7633567979879</v>
      </c>
      <c r="M38" s="747">
        <v>246.34210700793582</v>
      </c>
      <c r="N38" s="678">
        <v>4847.504547798284</v>
      </c>
      <c r="O38" s="662">
        <v>12031.406683512252</v>
      </c>
      <c r="P38" s="662">
        <v>8593.2679045962723</v>
      </c>
      <c r="Q38" s="678">
        <v>20624.674588108523</v>
      </c>
      <c r="R38" s="995"/>
      <c r="S38" s="995"/>
      <c r="T38" s="995"/>
      <c r="U38" s="995"/>
    </row>
    <row r="39" spans="1:21" s="306" customFormat="1" ht="16.5" customHeight="1">
      <c r="A39" s="405"/>
      <c r="B39" s="516" t="s">
        <v>422</v>
      </c>
      <c r="C39" s="818">
        <v>1188.1345940799999</v>
      </c>
      <c r="D39" s="692">
        <v>427.20759265288001</v>
      </c>
      <c r="E39" s="692">
        <v>2290.771098676305</v>
      </c>
      <c r="F39" s="697">
        <v>1181.70067874549</v>
      </c>
      <c r="G39" s="692">
        <v>3252.0021502255254</v>
      </c>
      <c r="H39" s="747">
        <v>153.89791156607336</v>
      </c>
      <c r="I39" s="659">
        <v>5182.2655026876628</v>
      </c>
      <c r="J39" s="692">
        <v>2217.2243215884737</v>
      </c>
      <c r="K39" s="659">
        <v>11913.223345669492</v>
      </c>
      <c r="L39" s="692">
        <v>3979.960504552917</v>
      </c>
      <c r="M39" s="747">
        <v>238.52239944107504</v>
      </c>
      <c r="N39" s="678">
        <v>4669.1453757039126</v>
      </c>
      <c r="O39" s="662">
        <v>12151.745745110567</v>
      </c>
      <c r="P39" s="662">
        <v>8649.1058802568296</v>
      </c>
      <c r="Q39" s="678">
        <v>20800.841625367397</v>
      </c>
      <c r="R39" s="995"/>
      <c r="S39" s="995"/>
      <c r="T39" s="995"/>
      <c r="U39" s="995"/>
    </row>
    <row r="40" spans="1:21" s="306" customFormat="1" ht="16.5" customHeight="1">
      <c r="A40" s="405"/>
      <c r="B40" s="516" t="s">
        <v>423</v>
      </c>
      <c r="C40" s="818">
        <v>1171.0719388690002</v>
      </c>
      <c r="D40" s="692">
        <v>313.48307779378001</v>
      </c>
      <c r="E40" s="692">
        <v>2356.7583426634824</v>
      </c>
      <c r="F40" s="697">
        <v>940.50855098862485</v>
      </c>
      <c r="G40" s="692">
        <v>3250.1081260922151</v>
      </c>
      <c r="H40" s="747">
        <v>156.30962390531471</v>
      </c>
      <c r="I40" s="659">
        <v>5435.1125611166635</v>
      </c>
      <c r="J40" s="692">
        <v>2451.1113210538106</v>
      </c>
      <c r="K40" s="659">
        <v>12213.06096874136</v>
      </c>
      <c r="L40" s="692">
        <v>3861.4125737415302</v>
      </c>
      <c r="M40" s="747">
        <v>250.98711350764802</v>
      </c>
      <c r="N40" s="678">
        <v>4798.915650237619</v>
      </c>
      <c r="O40" s="662">
        <v>12464.058082249008</v>
      </c>
      <c r="P40" s="662">
        <v>8660.3282239791497</v>
      </c>
      <c r="Q40" s="678">
        <v>21124.376306228158</v>
      </c>
      <c r="R40" s="995"/>
      <c r="S40" s="995"/>
      <c r="T40" s="995"/>
      <c r="U40" s="995"/>
    </row>
    <row r="41" spans="1:21" s="306" customFormat="1" ht="16.5" customHeight="1">
      <c r="A41" s="405"/>
      <c r="B41" s="516" t="s">
        <v>424</v>
      </c>
      <c r="C41" s="818">
        <v>1167.5056510979998</v>
      </c>
      <c r="D41" s="692">
        <v>365.68803996631999</v>
      </c>
      <c r="E41" s="692">
        <v>2307.0858458332928</v>
      </c>
      <c r="F41" s="697">
        <v>883.52237223249381</v>
      </c>
      <c r="G41" s="692">
        <v>3271.1038402613262</v>
      </c>
      <c r="H41" s="747">
        <v>163.00836914780277</v>
      </c>
      <c r="I41" s="659">
        <v>5480.6018492071489</v>
      </c>
      <c r="J41" s="692">
        <v>2268.7174291788988</v>
      </c>
      <c r="K41" s="659">
        <v>12226.267186399768</v>
      </c>
      <c r="L41" s="692">
        <v>3680.9362105255159</v>
      </c>
      <c r="M41" s="747">
        <v>271.09097207783543</v>
      </c>
      <c r="N41" s="678">
        <v>4274.59154775363</v>
      </c>
      <c r="O41" s="662">
        <v>12497.358158477604</v>
      </c>
      <c r="P41" s="662">
        <v>7955.5277582791459</v>
      </c>
      <c r="Q41" s="678">
        <v>20452.88591675675</v>
      </c>
      <c r="R41" s="995"/>
      <c r="S41" s="995"/>
      <c r="T41" s="995"/>
      <c r="U41" s="995"/>
    </row>
    <row r="42" spans="1:21" s="306" customFormat="1" ht="16.5" customHeight="1">
      <c r="A42" s="405"/>
      <c r="B42" s="516" t="s">
        <v>425</v>
      </c>
      <c r="C42" s="818">
        <v>1144.4682242059998</v>
      </c>
      <c r="D42" s="692">
        <v>335.84354835091</v>
      </c>
      <c r="E42" s="692">
        <v>2333.2581692842655</v>
      </c>
      <c r="F42" s="697">
        <v>793.00836846455445</v>
      </c>
      <c r="G42" s="692">
        <v>3268.4440628259272</v>
      </c>
      <c r="H42" s="747">
        <v>163.25498927374767</v>
      </c>
      <c r="I42" s="659">
        <v>5387.2371349729674</v>
      </c>
      <c r="J42" s="692">
        <v>2288.1523281117247</v>
      </c>
      <c r="K42" s="659">
        <v>12133.437591289159</v>
      </c>
      <c r="L42" s="692">
        <v>3580.299234200937</v>
      </c>
      <c r="M42" s="747">
        <v>273.30663968283744</v>
      </c>
      <c r="N42" s="678">
        <v>4330.9112927581127</v>
      </c>
      <c r="O42" s="662">
        <v>12406.744230971997</v>
      </c>
      <c r="P42" s="662">
        <v>7911.2105269590502</v>
      </c>
      <c r="Q42" s="678">
        <v>20317.944757931047</v>
      </c>
      <c r="R42" s="995"/>
      <c r="S42" s="995"/>
      <c r="T42" s="995"/>
      <c r="U42" s="995"/>
    </row>
    <row r="43" spans="1:21" s="306" customFormat="1" ht="16.5" customHeight="1">
      <c r="A43" s="405"/>
      <c r="B43" s="516" t="s">
        <v>426</v>
      </c>
      <c r="C43" s="818">
        <v>1176.4316482677691</v>
      </c>
      <c r="D43" s="692">
        <v>289.86764528721</v>
      </c>
      <c r="E43" s="692">
        <v>2399.5337979070973</v>
      </c>
      <c r="F43" s="697">
        <v>864.35137019574063</v>
      </c>
      <c r="G43" s="692">
        <v>3259.9030249683547</v>
      </c>
      <c r="H43" s="747">
        <v>179.94128493294113</v>
      </c>
      <c r="I43" s="659">
        <v>5294.9501025819318</v>
      </c>
      <c r="J43" s="692">
        <v>2214.8057457218047</v>
      </c>
      <c r="K43" s="659">
        <v>12130.818573725153</v>
      </c>
      <c r="L43" s="692">
        <v>3548.9960461376968</v>
      </c>
      <c r="M43" s="747">
        <v>343.08991306068793</v>
      </c>
      <c r="N43" s="678">
        <v>4547.426484782296</v>
      </c>
      <c r="O43" s="662">
        <v>12473.908486785842</v>
      </c>
      <c r="P43" s="662">
        <v>8096.4225309199928</v>
      </c>
      <c r="Q43" s="678">
        <v>20570.331017705834</v>
      </c>
      <c r="R43" s="995"/>
      <c r="S43" s="995"/>
      <c r="T43" s="995"/>
      <c r="U43" s="995"/>
    </row>
    <row r="44" spans="1:21" ht="20.25" customHeight="1">
      <c r="A44" s="215" t="s">
        <v>839</v>
      </c>
      <c r="B44" s="217"/>
      <c r="C44" s="215"/>
      <c r="D44" s="215"/>
      <c r="E44" s="215"/>
      <c r="F44" s="251"/>
      <c r="G44" s="292"/>
      <c r="H44" s="215"/>
      <c r="I44" s="215"/>
      <c r="J44" s="215"/>
      <c r="K44" s="215"/>
      <c r="L44" s="215"/>
      <c r="M44" s="215"/>
      <c r="N44" s="215"/>
      <c r="O44" s="218"/>
      <c r="P44" s="293"/>
      <c r="Q44" s="294" t="s">
        <v>840</v>
      </c>
    </row>
    <row r="45" spans="1:21">
      <c r="C45" s="655"/>
      <c r="D45" s="655"/>
      <c r="E45" s="655"/>
      <c r="F45" s="655"/>
      <c r="G45" s="655"/>
      <c r="H45" s="655"/>
      <c r="I45" s="655"/>
      <c r="J45" s="655"/>
      <c r="K45" s="655"/>
      <c r="L45" s="655"/>
      <c r="M45" s="655"/>
      <c r="N45" s="655"/>
      <c r="O45" s="655"/>
      <c r="P45" s="655"/>
      <c r="Q45" s="655"/>
    </row>
    <row r="46" spans="1:21">
      <c r="B46" s="146"/>
      <c r="C46" s="655"/>
      <c r="D46" s="655"/>
      <c r="E46" s="655"/>
      <c r="F46" s="655"/>
      <c r="G46" s="655"/>
      <c r="H46" s="655"/>
      <c r="I46" s="655"/>
      <c r="J46" s="655"/>
      <c r="K46" s="655"/>
      <c r="L46" s="655"/>
      <c r="M46" s="655"/>
      <c r="N46" s="655"/>
      <c r="O46" s="655"/>
      <c r="P46" s="655"/>
      <c r="Q46" s="655"/>
    </row>
    <row r="47" spans="1:21" s="38" customFormat="1" ht="14.25">
      <c r="A47" s="317" t="s">
        <v>841</v>
      </c>
      <c r="B47" s="317"/>
      <c r="C47" s="317"/>
      <c r="D47" s="317"/>
      <c r="E47" s="317"/>
      <c r="F47" s="317"/>
      <c r="G47" s="317"/>
      <c r="H47" s="317"/>
      <c r="I47" s="317"/>
      <c r="J47" s="317"/>
      <c r="K47" s="317"/>
      <c r="L47" s="317"/>
      <c r="M47" s="317"/>
      <c r="N47" s="317"/>
      <c r="O47" s="317"/>
      <c r="P47" s="317"/>
      <c r="Q47" s="317"/>
    </row>
    <row r="48" spans="1:21">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39" activePane="bottomLeft" state="frozen"/>
      <selection activeCell="B12" sqref="B12"/>
      <selection pane="bottomLeft" activeCell="J43" sqref="J43"/>
    </sheetView>
  </sheetViews>
  <sheetFormatPr defaultColWidth="9.140625" defaultRowHeight="15"/>
  <cols>
    <col min="1" max="1" width="8.5703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5703125" style="148" bestFit="1" customWidth="1"/>
    <col min="9" max="9" width="13.85546875" style="148" customWidth="1"/>
    <col min="10" max="10" width="9.42578125" style="148" customWidth="1"/>
    <col min="11" max="11" width="15.7109375" style="148" customWidth="1"/>
    <col min="12" max="12" width="15.7109375" style="381" customWidth="1"/>
    <col min="13" max="13" width="9.140625" style="148"/>
    <col min="14" max="14" width="7.7109375" style="148" customWidth="1"/>
    <col min="15" max="16384" width="9.140625" style="148"/>
  </cols>
  <sheetData>
    <row r="1" spans="1:14" s="416" customFormat="1" ht="18">
      <c r="A1" s="277" t="s">
        <v>1773</v>
      </c>
      <c r="B1" s="277"/>
      <c r="C1" s="415"/>
      <c r="D1" s="415"/>
      <c r="E1" s="415"/>
      <c r="F1" s="415"/>
      <c r="G1" s="415"/>
      <c r="H1" s="415"/>
      <c r="I1" s="415"/>
      <c r="J1" s="415"/>
      <c r="K1" s="415"/>
      <c r="L1" s="382"/>
    </row>
    <row r="2" spans="1:14" s="381" customFormat="1" ht="21.2" customHeight="1">
      <c r="A2" s="1690" t="s">
        <v>770</v>
      </c>
      <c r="B2" s="1740"/>
      <c r="C2" s="1740"/>
      <c r="D2" s="1740"/>
      <c r="E2" s="1740"/>
      <c r="F2" s="1740"/>
      <c r="G2" s="1740"/>
      <c r="H2" s="1740"/>
      <c r="I2" s="1740"/>
      <c r="J2" s="1740"/>
      <c r="K2" s="1740"/>
      <c r="L2" s="382"/>
    </row>
    <row r="3" spans="1:14" s="381" customFormat="1" ht="21.2" customHeight="1">
      <c r="A3" s="277" t="s">
        <v>771</v>
      </c>
      <c r="B3" s="1740"/>
      <c r="C3" s="1740"/>
      <c r="D3" s="1740"/>
      <c r="E3" s="1740"/>
      <c r="F3" s="1740"/>
      <c r="G3" s="1740"/>
      <c r="H3" s="1740"/>
      <c r="I3" s="1740"/>
      <c r="J3" s="1740"/>
      <c r="K3" s="1740"/>
      <c r="L3" s="382"/>
    </row>
    <row r="4" spans="1:14" s="381" customFormat="1" ht="21.2" customHeight="1">
      <c r="A4" s="1690" t="s">
        <v>842</v>
      </c>
      <c r="B4" s="1740"/>
      <c r="C4" s="1740"/>
      <c r="D4" s="1740"/>
      <c r="E4" s="1740"/>
      <c r="F4" s="1740"/>
      <c r="G4" s="1740"/>
      <c r="H4" s="1740"/>
      <c r="I4" s="1740"/>
      <c r="J4" s="1740"/>
      <c r="K4" s="1740"/>
      <c r="L4" s="382"/>
    </row>
    <row r="5" spans="1:14" s="381" customFormat="1" ht="18">
      <c r="A5" s="277" t="s">
        <v>843</v>
      </c>
      <c r="B5" s="1740"/>
      <c r="C5" s="1740"/>
      <c r="D5" s="1740"/>
      <c r="E5" s="1740"/>
      <c r="F5" s="1740"/>
      <c r="G5" s="1740"/>
      <c r="H5" s="1740"/>
      <c r="I5" s="1740"/>
      <c r="J5" s="1740"/>
      <c r="K5" s="1740"/>
      <c r="L5" s="382"/>
    </row>
    <row r="6" spans="1:14" s="416" customFormat="1" ht="18" hidden="1">
      <c r="A6" s="277"/>
      <c r="B6" s="277"/>
      <c r="C6" s="415"/>
      <c r="D6" s="415"/>
      <c r="E6" s="415"/>
      <c r="F6" s="415"/>
      <c r="G6" s="415"/>
      <c r="H6" s="415"/>
      <c r="I6" s="415"/>
      <c r="J6" s="415"/>
      <c r="K6" s="415"/>
      <c r="L6" s="381"/>
    </row>
    <row r="7" spans="1:14" s="416" customFormat="1" ht="18" hidden="1">
      <c r="A7" s="277"/>
      <c r="B7" s="277"/>
      <c r="C7" s="415"/>
      <c r="D7" s="415"/>
      <c r="E7" s="415"/>
      <c r="F7" s="415"/>
      <c r="G7" s="415"/>
      <c r="H7" s="415"/>
      <c r="I7" s="415"/>
      <c r="J7" s="415"/>
      <c r="K7" s="415"/>
      <c r="L7" s="608" t="s">
        <v>374</v>
      </c>
    </row>
    <row r="8" spans="1:14" s="416" customFormat="1">
      <c r="A8" s="417" t="s">
        <v>373</v>
      </c>
      <c r="B8" s="418"/>
      <c r="C8" s="415"/>
      <c r="D8" s="415"/>
      <c r="K8" s="419"/>
      <c r="L8" s="246" t="s">
        <v>374</v>
      </c>
    </row>
    <row r="9" spans="1:14" s="161" customFormat="1" ht="23.85" customHeight="1">
      <c r="A9" s="1244" t="s">
        <v>383</v>
      </c>
      <c r="B9" s="1245"/>
      <c r="C9" s="737" t="s">
        <v>844</v>
      </c>
      <c r="D9" s="737" t="s">
        <v>844</v>
      </c>
      <c r="E9" s="420" t="s">
        <v>845</v>
      </c>
      <c r="F9" s="425"/>
      <c r="G9" s="425"/>
      <c r="H9" s="174"/>
      <c r="I9" s="426"/>
      <c r="J9" s="426"/>
      <c r="K9" s="424" t="s">
        <v>846</v>
      </c>
      <c r="L9" s="889"/>
    </row>
    <row r="10" spans="1:14" s="404" customFormat="1" ht="20.25" customHeight="1">
      <c r="A10" s="1246"/>
      <c r="B10" s="1247"/>
      <c r="C10" s="736" t="s">
        <v>847</v>
      </c>
      <c r="D10" s="736" t="s">
        <v>848</v>
      </c>
      <c r="E10" s="420" t="s">
        <v>567</v>
      </c>
      <c r="F10" s="181"/>
      <c r="H10" s="605" t="s">
        <v>568</v>
      </c>
      <c r="I10" s="607"/>
      <c r="K10" s="432"/>
      <c r="L10" s="631"/>
    </row>
    <row r="11" spans="1:14" s="404" customFormat="1" ht="15.75">
      <c r="A11" s="1246"/>
      <c r="B11" s="1247"/>
      <c r="C11" s="1258" t="s">
        <v>849</v>
      </c>
      <c r="D11" s="1256" t="s">
        <v>850</v>
      </c>
      <c r="E11" s="427" t="s">
        <v>578</v>
      </c>
      <c r="F11" s="435" t="s">
        <v>579</v>
      </c>
      <c r="G11" s="606" t="s">
        <v>580</v>
      </c>
      <c r="H11" s="435" t="s">
        <v>581</v>
      </c>
      <c r="I11" s="435" t="s">
        <v>582</v>
      </c>
      <c r="J11" s="435" t="s">
        <v>396</v>
      </c>
      <c r="K11" s="435" t="s">
        <v>386</v>
      </c>
      <c r="L11" s="631" t="s">
        <v>386</v>
      </c>
    </row>
    <row r="12" spans="1:14" s="404" customFormat="1" ht="63">
      <c r="A12" s="179" t="s">
        <v>391</v>
      </c>
      <c r="B12" s="436"/>
      <c r="C12" s="1259"/>
      <c r="D12" s="1257"/>
      <c r="E12" s="403" t="s">
        <v>592</v>
      </c>
      <c r="F12" s="402" t="s">
        <v>593</v>
      </c>
      <c r="G12" s="402" t="s">
        <v>594</v>
      </c>
      <c r="H12" s="402" t="s">
        <v>595</v>
      </c>
      <c r="I12" s="402" t="s">
        <v>851</v>
      </c>
      <c r="J12" s="402" t="s">
        <v>404</v>
      </c>
      <c r="K12" s="402" t="s">
        <v>397</v>
      </c>
      <c r="L12" s="402" t="s">
        <v>737</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58">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58">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58">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58">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58">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58">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58">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58">
        <v>11298.088209443948</v>
      </c>
      <c r="M20" s="819"/>
    </row>
    <row r="21" spans="1:14" ht="17.25" customHeight="1">
      <c r="A21" s="739">
        <v>2023</v>
      </c>
      <c r="B21" s="516"/>
      <c r="C21" s="743">
        <f t="shared" ref="C21:L21" si="0">C26</f>
        <v>5019.3357399331735</v>
      </c>
      <c r="D21" s="743">
        <f t="shared" si="0"/>
        <v>925.35749810301661</v>
      </c>
      <c r="E21" s="683">
        <f t="shared" si="0"/>
        <v>2880.3015089492378</v>
      </c>
      <c r="F21" s="683">
        <f t="shared" si="0"/>
        <v>97.070687621000133</v>
      </c>
      <c r="G21" s="683">
        <f t="shared" si="0"/>
        <v>236.92422206352998</v>
      </c>
      <c r="H21" s="683">
        <f t="shared" si="0"/>
        <v>1778.4750856533999</v>
      </c>
      <c r="I21" s="683">
        <f t="shared" si="0"/>
        <v>119.86694933148686</v>
      </c>
      <c r="J21" s="683">
        <f t="shared" si="0"/>
        <v>721.92946302158475</v>
      </c>
      <c r="K21" s="683">
        <f t="shared" si="0"/>
        <v>5834.5979166402394</v>
      </c>
      <c r="L21" s="1158">
        <f t="shared" si="0"/>
        <v>11779.271154676429</v>
      </c>
      <c r="M21" s="819"/>
    </row>
    <row r="22" spans="1:14" ht="17.25" customHeight="1">
      <c r="A22" s="1060">
        <v>2024</v>
      </c>
      <c r="B22" s="773"/>
      <c r="C22" s="744">
        <f t="shared" ref="C22:L22" si="1">C30</f>
        <v>5211.7368259243813</v>
      </c>
      <c r="D22" s="744">
        <f t="shared" si="1"/>
        <v>1160.0531715063664</v>
      </c>
      <c r="E22" s="1334">
        <f t="shared" si="1"/>
        <v>3030.3459715256877</v>
      </c>
      <c r="F22" s="740">
        <f t="shared" si="1"/>
        <v>97.236608660279941</v>
      </c>
      <c r="G22" s="740">
        <f t="shared" si="1"/>
        <v>209.65139991333962</v>
      </c>
      <c r="H22" s="740">
        <f t="shared" si="1"/>
        <v>1775.714553265771</v>
      </c>
      <c r="I22" s="740">
        <f t="shared" si="1"/>
        <v>133.86146642184696</v>
      </c>
      <c r="J22" s="740">
        <f t="shared" si="1"/>
        <v>703.29004735939156</v>
      </c>
      <c r="K22" s="740">
        <f t="shared" si="1"/>
        <v>5950.1000471463158</v>
      </c>
      <c r="L22" s="1061">
        <f t="shared" si="1"/>
        <v>12321.880044577063</v>
      </c>
      <c r="M22" s="819"/>
    </row>
    <row r="23" spans="1:14" ht="21" customHeight="1">
      <c r="A23" s="739">
        <v>2023</v>
      </c>
      <c r="B23" s="516" t="s">
        <v>243</v>
      </c>
      <c r="C23" s="743">
        <v>5197.9115126872584</v>
      </c>
      <c r="D23" s="743">
        <v>544.83352544415834</v>
      </c>
      <c r="E23" s="683">
        <v>2709.3611237613741</v>
      </c>
      <c r="F23" s="683">
        <v>98.258990716349928</v>
      </c>
      <c r="G23" s="683">
        <v>152.67339220944825</v>
      </c>
      <c r="H23" s="683">
        <v>1861.1272355946685</v>
      </c>
      <c r="I23" s="683">
        <v>110.24281094269058</v>
      </c>
      <c r="J23" s="683">
        <v>877.88387159232082</v>
      </c>
      <c r="K23" s="683">
        <v>5809.5574248168514</v>
      </c>
      <c r="L23" s="1158">
        <v>11552.302462948268</v>
      </c>
      <c r="M23" s="819"/>
    </row>
    <row r="24" spans="1:14" ht="15.75">
      <c r="A24" s="739"/>
      <c r="B24" s="516" t="s">
        <v>244</v>
      </c>
      <c r="C24" s="743">
        <v>5039.840693731443</v>
      </c>
      <c r="D24" s="743">
        <v>612.03885678582174</v>
      </c>
      <c r="E24" s="683">
        <v>2892.3838023457297</v>
      </c>
      <c r="F24" s="683">
        <v>94.081246886466758</v>
      </c>
      <c r="G24" s="683">
        <v>234.18216771803992</v>
      </c>
      <c r="H24" s="683">
        <v>1887.8960694924465</v>
      </c>
      <c r="I24" s="683">
        <v>132.2395599807046</v>
      </c>
      <c r="J24" s="683">
        <v>742.31254598272335</v>
      </c>
      <c r="K24" s="683">
        <v>5983.0953924061114</v>
      </c>
      <c r="L24" s="1158">
        <v>11634.944942923375</v>
      </c>
      <c r="M24" s="819"/>
    </row>
    <row r="25" spans="1:14" ht="15.75">
      <c r="A25" s="739"/>
      <c r="B25" s="516" t="s">
        <v>245</v>
      </c>
      <c r="C25" s="786">
        <v>5152.4369715764578</v>
      </c>
      <c r="D25" s="743">
        <v>626.99472786998729</v>
      </c>
      <c r="E25" s="1135">
        <v>2848.9593286202703</v>
      </c>
      <c r="F25" s="683">
        <v>94.941713354062699</v>
      </c>
      <c r="G25" s="683">
        <v>226.59838832495393</v>
      </c>
      <c r="H25" s="683">
        <v>1794.6551222462308</v>
      </c>
      <c r="I25" s="683">
        <v>115.31725024668552</v>
      </c>
      <c r="J25" s="683">
        <v>737.25289197591417</v>
      </c>
      <c r="K25" s="683">
        <v>5817.774694768118</v>
      </c>
      <c r="L25" s="1158">
        <v>11597.156394214564</v>
      </c>
      <c r="M25" s="819"/>
    </row>
    <row r="26" spans="1:14" ht="15.75">
      <c r="A26" s="739"/>
      <c r="B26" s="516" t="s">
        <v>242</v>
      </c>
      <c r="C26" s="743">
        <v>5019.3357399331735</v>
      </c>
      <c r="D26" s="743">
        <v>925.35749810301661</v>
      </c>
      <c r="E26" s="683">
        <v>2880.3015089492378</v>
      </c>
      <c r="F26" s="683">
        <v>97.070687621000133</v>
      </c>
      <c r="G26" s="683">
        <v>236.92422206352998</v>
      </c>
      <c r="H26" s="683">
        <v>1778.4750856533999</v>
      </c>
      <c r="I26" s="683">
        <v>119.86694933148686</v>
      </c>
      <c r="J26" s="683">
        <v>721.92946302158475</v>
      </c>
      <c r="K26" s="683">
        <v>5834.5979166402394</v>
      </c>
      <c r="L26" s="1158">
        <v>11779.271154676429</v>
      </c>
      <c r="M26" s="819"/>
    </row>
    <row r="27" spans="1:14" ht="21" customHeight="1">
      <c r="A27" s="739">
        <v>2024</v>
      </c>
      <c r="B27" s="516" t="s">
        <v>243</v>
      </c>
      <c r="C27" s="743">
        <f t="shared" ref="C27:L27" si="2">C34</f>
        <v>5281.8320280015014</v>
      </c>
      <c r="D27" s="743">
        <f t="shared" si="2"/>
        <v>1007.7286036142725</v>
      </c>
      <c r="E27" s="683">
        <f t="shared" si="2"/>
        <v>2920.5148734253266</v>
      </c>
      <c r="F27" s="683">
        <f t="shared" si="2"/>
        <v>97.257426135649013</v>
      </c>
      <c r="G27" s="683">
        <f t="shared" si="2"/>
        <v>231.8053820890342</v>
      </c>
      <c r="H27" s="683">
        <f t="shared" si="2"/>
        <v>1744.2759149590124</v>
      </c>
      <c r="I27" s="683">
        <f t="shared" si="2"/>
        <v>113.43408064154222</v>
      </c>
      <c r="J27" s="683">
        <f t="shared" si="2"/>
        <v>728.82236322407641</v>
      </c>
      <c r="K27" s="683">
        <f t="shared" si="2"/>
        <v>5836.1100404746412</v>
      </c>
      <c r="L27" s="1158">
        <f t="shared" si="2"/>
        <v>12125.640672090414</v>
      </c>
      <c r="M27" s="1892"/>
    </row>
    <row r="28" spans="1:14" ht="15" customHeight="1">
      <c r="A28" s="739"/>
      <c r="B28" s="516" t="s">
        <v>244</v>
      </c>
      <c r="C28" s="743">
        <f t="shared" ref="C28:L28" si="3">C37</f>
        <v>5300.8274697613597</v>
      </c>
      <c r="D28" s="743">
        <f t="shared" si="3"/>
        <v>1012.4981628229938</v>
      </c>
      <c r="E28" s="683">
        <f t="shared" si="3"/>
        <v>2996.370220832147</v>
      </c>
      <c r="F28" s="683">
        <f t="shared" si="3"/>
        <v>100.47006049299995</v>
      </c>
      <c r="G28" s="683">
        <f t="shared" si="3"/>
        <v>252.63303218002798</v>
      </c>
      <c r="H28" s="683">
        <f t="shared" si="3"/>
        <v>1767.5009773590032</v>
      </c>
      <c r="I28" s="683">
        <f t="shared" si="3"/>
        <v>116.4919630885492</v>
      </c>
      <c r="J28" s="683">
        <f t="shared" si="3"/>
        <v>682.04087020796078</v>
      </c>
      <c r="K28" s="683">
        <f t="shared" si="3"/>
        <v>5915.5071241606875</v>
      </c>
      <c r="L28" s="1158">
        <f t="shared" si="3"/>
        <v>12228.832756745041</v>
      </c>
      <c r="M28" s="1892"/>
    </row>
    <row r="29" spans="1:14" ht="15" customHeight="1">
      <c r="A29" s="739"/>
      <c r="B29" s="516" t="s">
        <v>245</v>
      </c>
      <c r="C29" s="743">
        <f t="shared" ref="C29:L29" si="4">C40</f>
        <v>5211.6297925814106</v>
      </c>
      <c r="D29" s="743">
        <f t="shared" si="4"/>
        <v>1059.065069696474</v>
      </c>
      <c r="E29" s="683">
        <f t="shared" si="4"/>
        <v>3002.6821508929684</v>
      </c>
      <c r="F29" s="683">
        <f t="shared" si="4"/>
        <v>99.64096807299984</v>
      </c>
      <c r="G29" s="683">
        <f t="shared" si="4"/>
        <v>250.67040294889802</v>
      </c>
      <c r="H29" s="683">
        <f t="shared" si="4"/>
        <v>1757.8691216852019</v>
      </c>
      <c r="I29" s="683">
        <f t="shared" si="4"/>
        <v>122.30917089341021</v>
      </c>
      <c r="J29" s="683">
        <f t="shared" si="4"/>
        <v>660.79056905889718</v>
      </c>
      <c r="K29" s="683">
        <f t="shared" si="4"/>
        <v>5893.9823835523748</v>
      </c>
      <c r="L29" s="1158">
        <f t="shared" si="4"/>
        <v>12164.677245830258</v>
      </c>
      <c r="M29" s="1892"/>
    </row>
    <row r="30" spans="1:14" ht="15" customHeight="1">
      <c r="A30" s="1060"/>
      <c r="B30" s="773" t="s">
        <v>242</v>
      </c>
      <c r="C30" s="744">
        <f t="shared" ref="C30:L30" si="5">C43</f>
        <v>5211.7368259243813</v>
      </c>
      <c r="D30" s="744">
        <f t="shared" si="5"/>
        <v>1160.0531715063664</v>
      </c>
      <c r="E30" s="740">
        <f t="shared" si="5"/>
        <v>3030.3459715256877</v>
      </c>
      <c r="F30" s="740">
        <f t="shared" si="5"/>
        <v>97.236608660279941</v>
      </c>
      <c r="G30" s="740">
        <f t="shared" si="5"/>
        <v>209.65139991333962</v>
      </c>
      <c r="H30" s="740">
        <f t="shared" si="5"/>
        <v>1775.714553265771</v>
      </c>
      <c r="I30" s="740">
        <f t="shared" si="5"/>
        <v>133.86146642184696</v>
      </c>
      <c r="J30" s="740">
        <f t="shared" si="5"/>
        <v>703.29004735939156</v>
      </c>
      <c r="K30" s="740">
        <f t="shared" si="5"/>
        <v>5950.1000471463158</v>
      </c>
      <c r="L30" s="1061">
        <f t="shared" si="5"/>
        <v>12321.880044577063</v>
      </c>
      <c r="M30" s="1892"/>
    </row>
    <row r="31" spans="1:14" ht="21" customHeight="1">
      <c r="A31" s="739">
        <v>2023</v>
      </c>
      <c r="B31" s="516" t="s">
        <v>426</v>
      </c>
      <c r="C31" s="683">
        <v>5019.3357399331735</v>
      </c>
      <c r="D31" s="683">
        <v>925.35749810301661</v>
      </c>
      <c r="E31" s="683">
        <v>2880.3015089492378</v>
      </c>
      <c r="F31" s="683">
        <v>97.070687621000133</v>
      </c>
      <c r="G31" s="683">
        <v>236.92422206352998</v>
      </c>
      <c r="H31" s="683">
        <v>1778.4750856533999</v>
      </c>
      <c r="I31" s="683">
        <v>119.86694933148686</v>
      </c>
      <c r="J31" s="683">
        <v>721.92946302158475</v>
      </c>
      <c r="K31" s="683">
        <v>5834.5979166402394</v>
      </c>
      <c r="L31" s="822">
        <v>11779.271154676429</v>
      </c>
      <c r="M31" s="819"/>
      <c r="N31" s="819"/>
    </row>
    <row r="32" spans="1:14" ht="21" customHeight="1">
      <c r="A32" s="739">
        <v>2024</v>
      </c>
      <c r="B32" s="516" t="s">
        <v>427</v>
      </c>
      <c r="C32" s="683">
        <v>5054.6361956073961</v>
      </c>
      <c r="D32" s="683">
        <v>940.26112813776717</v>
      </c>
      <c r="E32" s="683">
        <v>2906.0363967814737</v>
      </c>
      <c r="F32" s="683">
        <v>97.000109275999932</v>
      </c>
      <c r="G32" s="683">
        <v>238.90043012237999</v>
      </c>
      <c r="H32" s="683">
        <v>1762.6560684615977</v>
      </c>
      <c r="I32" s="683">
        <v>115.0805979048942</v>
      </c>
      <c r="J32" s="683">
        <v>725.17898677078392</v>
      </c>
      <c r="K32" s="683">
        <v>5844.85258931713</v>
      </c>
      <c r="L32" s="822">
        <v>11839.759913062295</v>
      </c>
      <c r="M32" s="819"/>
      <c r="N32" s="819"/>
    </row>
    <row r="33" spans="1:14" ht="16.5" customHeight="1">
      <c r="A33" s="739"/>
      <c r="B33" s="516" t="s">
        <v>416</v>
      </c>
      <c r="C33" s="683">
        <v>5109.0846781199025</v>
      </c>
      <c r="D33" s="683">
        <v>1028.8055009948034</v>
      </c>
      <c r="E33" s="683">
        <v>2915.2788278530361</v>
      </c>
      <c r="F33" s="683">
        <v>96.418477762199217</v>
      </c>
      <c r="G33" s="683">
        <v>236.17148409731001</v>
      </c>
      <c r="H33" s="683">
        <v>1746.0906335581308</v>
      </c>
      <c r="I33" s="683">
        <v>116.40765957887473</v>
      </c>
      <c r="J33" s="683">
        <v>742.72843074799619</v>
      </c>
      <c r="K33" s="683">
        <v>5853.0955135975473</v>
      </c>
      <c r="L33" s="822">
        <v>11990.985692712253</v>
      </c>
      <c r="M33" s="819"/>
      <c r="N33" s="819"/>
    </row>
    <row r="34" spans="1:14" ht="16.5" customHeight="1">
      <c r="A34" s="739"/>
      <c r="B34" s="516" t="s">
        <v>417</v>
      </c>
      <c r="C34" s="683">
        <v>5281.8320280015014</v>
      </c>
      <c r="D34" s="683">
        <v>1007.7286036142725</v>
      </c>
      <c r="E34" s="683">
        <v>2920.5148734253266</v>
      </c>
      <c r="F34" s="683">
        <v>97.257426135649013</v>
      </c>
      <c r="G34" s="683">
        <v>231.8053820890342</v>
      </c>
      <c r="H34" s="683">
        <v>1744.2759149590124</v>
      </c>
      <c r="I34" s="683">
        <v>113.43408064154222</v>
      </c>
      <c r="J34" s="683">
        <v>728.82236322407641</v>
      </c>
      <c r="K34" s="683">
        <v>5836.1100404746412</v>
      </c>
      <c r="L34" s="822">
        <v>12125.640672090414</v>
      </c>
      <c r="M34" s="819"/>
      <c r="N34" s="819"/>
    </row>
    <row r="35" spans="1:14" ht="16.5" customHeight="1">
      <c r="A35" s="739"/>
      <c r="B35" s="516" t="s">
        <v>418</v>
      </c>
      <c r="C35" s="683">
        <v>5292.3560824806755</v>
      </c>
      <c r="D35" s="683">
        <v>1002.6425301760273</v>
      </c>
      <c r="E35" s="683">
        <v>2939.0385214517851</v>
      </c>
      <c r="F35" s="683">
        <v>99.184229338151795</v>
      </c>
      <c r="G35" s="683">
        <v>240.0790969210986</v>
      </c>
      <c r="H35" s="683">
        <v>1780.3521229862024</v>
      </c>
      <c r="I35" s="683">
        <v>112.79030578446898</v>
      </c>
      <c r="J35" s="683">
        <v>682.729300033002</v>
      </c>
      <c r="K35" s="683">
        <v>5854.1735765147096</v>
      </c>
      <c r="L35" s="822">
        <v>12149.172189171413</v>
      </c>
      <c r="M35" s="819"/>
      <c r="N35" s="819"/>
    </row>
    <row r="36" spans="1:14" ht="16.5" customHeight="1">
      <c r="A36" s="739"/>
      <c r="B36" s="516" t="s">
        <v>419</v>
      </c>
      <c r="C36" s="683">
        <v>5299.0892532544503</v>
      </c>
      <c r="D36" s="683">
        <v>1015.3767742156203</v>
      </c>
      <c r="E36" s="683">
        <v>2962.6383448058791</v>
      </c>
      <c r="F36" s="683">
        <v>101.05724752146205</v>
      </c>
      <c r="G36" s="683">
        <v>243.27669363005154</v>
      </c>
      <c r="H36" s="683">
        <v>1779.2426503144293</v>
      </c>
      <c r="I36" s="683">
        <v>117.04415620074921</v>
      </c>
      <c r="J36" s="683">
        <v>681.07082081418866</v>
      </c>
      <c r="K36" s="683">
        <v>5884.3299132867596</v>
      </c>
      <c r="L36" s="822">
        <v>12198.795940756831</v>
      </c>
      <c r="M36" s="819"/>
      <c r="N36" s="819"/>
    </row>
    <row r="37" spans="1:14" ht="16.5" customHeight="1">
      <c r="A37" s="739"/>
      <c r="B37" s="516" t="s">
        <v>420</v>
      </c>
      <c r="C37" s="683">
        <v>5300.8274697613597</v>
      </c>
      <c r="D37" s="683">
        <v>1012.4981628229938</v>
      </c>
      <c r="E37" s="683">
        <v>2996.370220832147</v>
      </c>
      <c r="F37" s="683">
        <v>100.47006049299995</v>
      </c>
      <c r="G37" s="683">
        <v>252.63303218002798</v>
      </c>
      <c r="H37" s="683">
        <v>1767.5009773590032</v>
      </c>
      <c r="I37" s="683">
        <v>116.4919630885492</v>
      </c>
      <c r="J37" s="683">
        <v>682.04087020796078</v>
      </c>
      <c r="K37" s="683">
        <v>5915.5071241606875</v>
      </c>
      <c r="L37" s="822">
        <v>12228.832756745041</v>
      </c>
      <c r="M37" s="819"/>
      <c r="N37" s="819"/>
    </row>
    <row r="38" spans="1:14" ht="16.5" customHeight="1">
      <c r="A38" s="739"/>
      <c r="B38" s="516" t="s">
        <v>421</v>
      </c>
      <c r="C38" s="683">
        <v>5228.5610423766348</v>
      </c>
      <c r="D38" s="683">
        <v>1061.2407474532756</v>
      </c>
      <c r="E38" s="683">
        <v>2994.33917447658</v>
      </c>
      <c r="F38" s="683">
        <v>99.626479750000058</v>
      </c>
      <c r="G38" s="683">
        <v>246.98618389828999</v>
      </c>
      <c r="H38" s="683">
        <v>1763.2626866480018</v>
      </c>
      <c r="I38" s="683">
        <v>116.20140072058933</v>
      </c>
      <c r="J38" s="683">
        <v>673.72930345844145</v>
      </c>
      <c r="K38" s="683">
        <v>5894.145228951902</v>
      </c>
      <c r="L38" s="822">
        <v>12183.917018781813</v>
      </c>
      <c r="M38" s="819"/>
      <c r="N38" s="819"/>
    </row>
    <row r="39" spans="1:14" ht="16.5" customHeight="1">
      <c r="A39" s="739"/>
      <c r="B39" s="516" t="s">
        <v>422</v>
      </c>
      <c r="C39" s="683">
        <v>5138.3903348537788</v>
      </c>
      <c r="D39" s="683">
        <v>1084.9144904315012</v>
      </c>
      <c r="E39" s="683">
        <v>3009.0325852347073</v>
      </c>
      <c r="F39" s="683">
        <v>100.15283708298495</v>
      </c>
      <c r="G39" s="683">
        <v>246.49508621111352</v>
      </c>
      <c r="H39" s="683">
        <v>1776.6468783614098</v>
      </c>
      <c r="I39" s="683">
        <v>126.15209949489277</v>
      </c>
      <c r="J39" s="683">
        <v>675.44051002752144</v>
      </c>
      <c r="K39" s="683">
        <v>5933.9299964126294</v>
      </c>
      <c r="L39" s="822">
        <v>12157.234821697908</v>
      </c>
      <c r="M39" s="819"/>
      <c r="N39" s="819"/>
    </row>
    <row r="40" spans="1:14" ht="16.5" customHeight="1">
      <c r="A40" s="739"/>
      <c r="B40" s="516" t="s">
        <v>423</v>
      </c>
      <c r="C40" s="683">
        <v>5211.6297925814106</v>
      </c>
      <c r="D40" s="683">
        <v>1059.065069696474</v>
      </c>
      <c r="E40" s="683">
        <v>3002.6821508929684</v>
      </c>
      <c r="F40" s="683">
        <v>99.64096807299984</v>
      </c>
      <c r="G40" s="683">
        <v>250.67040294889802</v>
      </c>
      <c r="H40" s="683">
        <v>1757.8691216852019</v>
      </c>
      <c r="I40" s="683">
        <v>122.30917089341021</v>
      </c>
      <c r="J40" s="683">
        <v>660.79056905889718</v>
      </c>
      <c r="K40" s="683">
        <v>5893.9823835523748</v>
      </c>
      <c r="L40" s="822">
        <v>12164.677245830258</v>
      </c>
      <c r="M40" s="819"/>
      <c r="N40" s="819"/>
    </row>
    <row r="41" spans="1:14" ht="16.5" customHeight="1">
      <c r="A41" s="739"/>
      <c r="B41" s="516" t="s">
        <v>424</v>
      </c>
      <c r="C41" s="683">
        <v>5109.3676291756237</v>
      </c>
      <c r="D41" s="683">
        <v>1037.086038705758</v>
      </c>
      <c r="E41" s="683">
        <v>3003.315226826915</v>
      </c>
      <c r="F41" s="683">
        <v>99.631113033999867</v>
      </c>
      <c r="G41" s="683">
        <v>248.21345197211585</v>
      </c>
      <c r="H41" s="683">
        <v>1760.1070434591979</v>
      </c>
      <c r="I41" s="683">
        <v>127.95097944703308</v>
      </c>
      <c r="J41" s="683">
        <v>670.23461784980941</v>
      </c>
      <c r="K41" s="683">
        <v>5909.4224325890709</v>
      </c>
      <c r="L41" s="822">
        <v>12055.876100470454</v>
      </c>
      <c r="M41" s="819"/>
      <c r="N41" s="819"/>
    </row>
    <row r="42" spans="1:14" ht="16.5" customHeight="1">
      <c r="A42" s="739"/>
      <c r="B42" s="516" t="s">
        <v>425</v>
      </c>
      <c r="C42" s="683">
        <v>5254.2629572258102</v>
      </c>
      <c r="D42" s="683">
        <v>1053.1330707154129</v>
      </c>
      <c r="E42" s="683">
        <v>3039.2267719867555</v>
      </c>
      <c r="F42" s="683">
        <v>104.76477540400003</v>
      </c>
      <c r="G42" s="683">
        <v>204.11179092861008</v>
      </c>
      <c r="H42" s="683">
        <v>1757.2127882421992</v>
      </c>
      <c r="I42" s="683">
        <v>130.72395410200511</v>
      </c>
      <c r="J42" s="683">
        <v>651.39052135079351</v>
      </c>
      <c r="K42" s="683">
        <v>5887.4106020143627</v>
      </c>
      <c r="L42" s="822">
        <v>12194.806629955587</v>
      </c>
      <c r="M42" s="819"/>
      <c r="N42" s="819"/>
    </row>
    <row r="43" spans="1:14" ht="16.5" customHeight="1">
      <c r="A43" s="739"/>
      <c r="B43" s="516" t="s">
        <v>426</v>
      </c>
      <c r="C43" s="683">
        <v>5211.7368259243813</v>
      </c>
      <c r="D43" s="683">
        <v>1160.0531715063664</v>
      </c>
      <c r="E43" s="683">
        <v>3030.3459715256877</v>
      </c>
      <c r="F43" s="683">
        <v>97.236608660279941</v>
      </c>
      <c r="G43" s="683">
        <v>209.65139991333962</v>
      </c>
      <c r="H43" s="683">
        <v>1775.714553265771</v>
      </c>
      <c r="I43" s="683">
        <v>133.86146642184696</v>
      </c>
      <c r="J43" s="683">
        <v>703.29004735939156</v>
      </c>
      <c r="K43" s="683">
        <v>5950.1000471463158</v>
      </c>
      <c r="L43" s="822">
        <v>12321.880044577063</v>
      </c>
      <c r="M43" s="819"/>
      <c r="N43" s="819"/>
    </row>
    <row r="44" spans="1:14" s="306" customFormat="1" ht="20.25" customHeight="1">
      <c r="A44" s="253" t="s">
        <v>852</v>
      </c>
      <c r="B44" s="253"/>
      <c r="C44" s="253"/>
      <c r="D44" s="253"/>
      <c r="E44" s="253"/>
      <c r="F44" s="253"/>
      <c r="G44" s="253"/>
      <c r="H44" s="253"/>
      <c r="I44" s="253"/>
      <c r="J44" s="253"/>
      <c r="K44" s="1893"/>
      <c r="L44" s="1893" t="s">
        <v>853</v>
      </c>
    </row>
    <row r="45" spans="1:14" s="416" customFormat="1">
      <c r="A45" s="306" t="s">
        <v>854</v>
      </c>
      <c r="C45" s="414"/>
      <c r="E45" s="413"/>
      <c r="F45" s="413"/>
      <c r="G45" s="413"/>
      <c r="L45" s="1894" t="s">
        <v>855</v>
      </c>
    </row>
    <row r="46" spans="1:14" s="416" customFormat="1">
      <c r="A46" s="306" t="s">
        <v>856</v>
      </c>
      <c r="C46" s="414"/>
      <c r="E46" s="413"/>
      <c r="F46" s="413"/>
      <c r="G46" s="413"/>
      <c r="L46" s="1894"/>
    </row>
    <row r="47" spans="1:14">
      <c r="A47" s="387" t="s">
        <v>857</v>
      </c>
      <c r="B47" s="387"/>
      <c r="C47" s="387"/>
      <c r="D47" s="387"/>
      <c r="E47" s="387"/>
      <c r="F47" s="387"/>
      <c r="G47" s="387"/>
      <c r="H47" s="387"/>
      <c r="I47" s="387"/>
      <c r="J47" s="387"/>
      <c r="K47" s="387"/>
      <c r="L47" s="1895"/>
    </row>
    <row r="48" spans="1:14" ht="14.85" customHeight="1">
      <c r="C48" s="443"/>
      <c r="D48" s="443"/>
      <c r="E48" s="443"/>
      <c r="F48" s="443"/>
      <c r="G48" s="443"/>
      <c r="H48" s="443"/>
      <c r="I48" s="443"/>
      <c r="J48" s="443"/>
      <c r="K48" s="443"/>
      <c r="L48" s="1894"/>
    </row>
    <row r="49" spans="12:12" ht="14.85" customHeight="1">
      <c r="L49" s="1894"/>
    </row>
    <row r="50" spans="12:12">
      <c r="L50" s="1894"/>
    </row>
    <row r="51" spans="12:12">
      <c r="L51" s="321"/>
    </row>
    <row r="53" spans="12:12">
      <c r="L53" s="382"/>
    </row>
  </sheetData>
  <mergeCells count="3">
    <mergeCell ref="A9:B11"/>
    <mergeCell ref="D11:D12"/>
    <mergeCell ref="C11:C12"/>
  </mergeCells>
  <printOptions horizontalCentered="1" verticalCentered="1"/>
  <pageMargins left="0" right="0" top="0" bottom="0" header="0.3" footer="0.3"/>
  <pageSetup paperSize="9" scale="6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70" zoomScaleNormal="70" workbookViewId="0">
      <pane xSplit="2" topLeftCell="F1" activePane="topRight" state="frozen"/>
      <selection activeCell="B12" sqref="B12"/>
      <selection pane="topRight" activeCell="P37" sqref="P37"/>
    </sheetView>
  </sheetViews>
  <sheetFormatPr defaultColWidth="18.28515625" defaultRowHeight="15"/>
  <cols>
    <col min="1" max="1" width="6.140625" style="1889" customWidth="1"/>
    <col min="2" max="2" width="46.42578125" style="1562" customWidth="1"/>
    <col min="3" max="3" width="15" style="1562" bestFit="1" customWidth="1"/>
    <col min="4" max="4" width="15.5703125" style="1562" bestFit="1" customWidth="1"/>
    <col min="5" max="5" width="15" style="1562" bestFit="1" customWidth="1"/>
    <col min="6" max="6" width="15.5703125" style="1562" bestFit="1" customWidth="1"/>
    <col min="7" max="7" width="15" style="1562" bestFit="1" customWidth="1"/>
    <col min="8" max="8" width="15.5703125" style="1562" bestFit="1" customWidth="1"/>
    <col min="9" max="9" width="15" style="1562" bestFit="1" customWidth="1"/>
    <col min="10" max="10" width="15.5703125" style="1562" bestFit="1" customWidth="1"/>
    <col min="11" max="11" width="15" style="1562" bestFit="1" customWidth="1"/>
    <col min="12" max="12" width="15.5703125" style="1562" bestFit="1" customWidth="1"/>
    <col min="13" max="13" width="15" style="1562" bestFit="1" customWidth="1"/>
    <col min="14" max="14" width="15.5703125" style="1562" bestFit="1" customWidth="1"/>
    <col min="15" max="15" width="15" style="1562" bestFit="1" customWidth="1"/>
    <col min="16" max="16" width="15.5703125" style="1562" bestFit="1" customWidth="1"/>
    <col min="17" max="17" width="46.7109375" style="1562" customWidth="1"/>
    <col min="18" max="18" width="18.28515625" style="1562" bestFit="1"/>
    <col min="19" max="19" width="0" style="1562" hidden="1" customWidth="1"/>
    <col min="20" max="16384" width="18.28515625" style="1562"/>
  </cols>
  <sheetData>
    <row r="1" spans="1:19" ht="18" customHeight="1">
      <c r="A1" s="831" t="s">
        <v>1772</v>
      </c>
      <c r="B1" s="979"/>
      <c r="C1" s="979"/>
      <c r="D1" s="979"/>
      <c r="E1" s="979"/>
      <c r="F1" s="979"/>
      <c r="G1" s="979"/>
      <c r="H1" s="979"/>
      <c r="I1" s="979"/>
      <c r="J1" s="979"/>
      <c r="K1" s="979"/>
      <c r="L1" s="979"/>
      <c r="M1" s="979"/>
      <c r="N1" s="979"/>
      <c r="O1" s="979"/>
      <c r="P1" s="979"/>
      <c r="Q1" s="979"/>
    </row>
    <row r="2" spans="1:19" ht="18" customHeight="1">
      <c r="A2" s="277" t="s">
        <v>771</v>
      </c>
      <c r="B2" s="1858"/>
      <c r="C2" s="1858"/>
      <c r="D2" s="1858"/>
      <c r="E2" s="1858"/>
      <c r="F2" s="1858"/>
      <c r="G2" s="1858"/>
      <c r="H2" s="1858"/>
      <c r="I2" s="1858"/>
      <c r="J2" s="1858"/>
      <c r="K2" s="1858"/>
      <c r="L2" s="1858"/>
      <c r="M2" s="1858"/>
      <c r="N2" s="1858"/>
      <c r="O2" s="1858"/>
      <c r="P2" s="1858"/>
      <c r="Q2" s="1858"/>
    </row>
    <row r="3" spans="1:19" ht="18">
      <c r="A3" s="1859" t="s">
        <v>858</v>
      </c>
      <c r="B3" s="979"/>
      <c r="C3" s="979"/>
      <c r="D3" s="979"/>
      <c r="E3" s="979"/>
      <c r="F3" s="979"/>
      <c r="G3" s="979"/>
      <c r="H3" s="979"/>
      <c r="I3" s="979"/>
      <c r="J3" s="979"/>
      <c r="K3" s="979"/>
      <c r="L3" s="979"/>
      <c r="M3" s="979"/>
      <c r="N3" s="979"/>
      <c r="O3" s="979"/>
      <c r="P3" s="979"/>
      <c r="Q3" s="979"/>
    </row>
    <row r="4" spans="1:19" ht="18">
      <c r="A4" s="277" t="s">
        <v>859</v>
      </c>
      <c r="B4" s="979"/>
      <c r="C4" s="979"/>
      <c r="D4" s="979"/>
      <c r="E4" s="979"/>
      <c r="F4" s="979"/>
      <c r="G4" s="979"/>
      <c r="H4" s="979"/>
      <c r="I4" s="979"/>
      <c r="J4" s="979"/>
      <c r="K4" s="979"/>
      <c r="L4" s="979"/>
      <c r="M4" s="979"/>
      <c r="N4" s="979"/>
      <c r="O4" s="979"/>
      <c r="P4" s="979"/>
      <c r="Q4" s="979"/>
    </row>
    <row r="5" spans="1:19" ht="15.75" customHeight="1">
      <c r="A5" s="979"/>
      <c r="B5" s="979"/>
      <c r="C5" s="1860"/>
      <c r="D5" s="1860"/>
      <c r="E5" s="1860"/>
      <c r="F5" s="1860"/>
      <c r="G5" s="1860"/>
      <c r="H5" s="1860"/>
      <c r="I5" s="1860"/>
      <c r="J5" s="1860"/>
      <c r="K5" s="1860"/>
      <c r="L5" s="1860"/>
      <c r="M5" s="1860"/>
      <c r="N5" s="1860"/>
      <c r="O5" s="1860"/>
      <c r="P5" s="1860"/>
      <c r="Q5" s="979"/>
    </row>
    <row r="6" spans="1:19" ht="15.75" customHeight="1">
      <c r="A6" s="979"/>
      <c r="B6" s="979"/>
      <c r="C6" s="1860"/>
      <c r="D6" s="1860"/>
      <c r="E6" s="1860"/>
      <c r="F6" s="1860"/>
      <c r="G6" s="1860"/>
      <c r="H6" s="1860"/>
      <c r="I6" s="1860"/>
      <c r="J6" s="1860"/>
      <c r="K6" s="1860"/>
      <c r="L6" s="1860"/>
      <c r="M6" s="1860"/>
      <c r="N6" s="1860"/>
      <c r="O6" s="1860"/>
      <c r="P6" s="1860"/>
      <c r="Q6" s="979"/>
    </row>
    <row r="7" spans="1:19">
      <c r="A7" s="417" t="s">
        <v>373</v>
      </c>
      <c r="D7" s="853"/>
      <c r="F7" s="853"/>
      <c r="H7" s="853"/>
      <c r="J7" s="853"/>
      <c r="L7" s="853"/>
      <c r="N7" s="853"/>
      <c r="P7" s="853"/>
      <c r="Q7" s="246" t="s">
        <v>374</v>
      </c>
    </row>
    <row r="8" spans="1:19" s="1863" customFormat="1" ht="20.25" customHeight="1">
      <c r="A8" s="1861"/>
      <c r="B8" s="1861" t="s">
        <v>860</v>
      </c>
      <c r="C8" s="1862">
        <v>2024</v>
      </c>
      <c r="D8" s="1862"/>
      <c r="E8" s="1862"/>
      <c r="F8" s="1862"/>
      <c r="G8" s="1862"/>
      <c r="H8" s="1862"/>
      <c r="I8" s="1862"/>
      <c r="J8" s="1862"/>
      <c r="K8" s="1862"/>
      <c r="L8" s="1862"/>
      <c r="M8" s="1862"/>
      <c r="N8" s="1862"/>
      <c r="O8" s="1862"/>
      <c r="P8" s="1862"/>
      <c r="Q8" s="1861" t="s">
        <v>861</v>
      </c>
    </row>
    <row r="9" spans="1:19" s="1863" customFormat="1" ht="20.25" customHeight="1">
      <c r="A9" s="1864"/>
      <c r="B9" s="1864"/>
      <c r="C9" s="1865" t="s">
        <v>1680</v>
      </c>
      <c r="D9" s="1866"/>
      <c r="E9" s="1865" t="s">
        <v>1686</v>
      </c>
      <c r="F9" s="1866"/>
      <c r="G9" s="1865" t="s">
        <v>1694</v>
      </c>
      <c r="H9" s="1866"/>
      <c r="I9" s="1865" t="s">
        <v>1700</v>
      </c>
      <c r="J9" s="1866"/>
      <c r="K9" s="1865" t="s">
        <v>1706</v>
      </c>
      <c r="L9" s="1866"/>
      <c r="M9" s="1865" t="s">
        <v>1713</v>
      </c>
      <c r="N9" s="1866"/>
      <c r="O9" s="1865" t="s">
        <v>1721</v>
      </c>
      <c r="P9" s="1866"/>
      <c r="Q9" s="1864"/>
    </row>
    <row r="10" spans="1:19" s="1863" customFormat="1" ht="63">
      <c r="A10" s="1864"/>
      <c r="B10" s="1864"/>
      <c r="C10" s="1867" t="s">
        <v>862</v>
      </c>
      <c r="D10" s="1867" t="s">
        <v>863</v>
      </c>
      <c r="E10" s="1867" t="s">
        <v>862</v>
      </c>
      <c r="F10" s="1867" t="s">
        <v>863</v>
      </c>
      <c r="G10" s="1867" t="s">
        <v>862</v>
      </c>
      <c r="H10" s="1867" t="s">
        <v>863</v>
      </c>
      <c r="I10" s="1867" t="s">
        <v>862</v>
      </c>
      <c r="J10" s="1867" t="s">
        <v>863</v>
      </c>
      <c r="K10" s="1867" t="s">
        <v>862</v>
      </c>
      <c r="L10" s="1867" t="s">
        <v>863</v>
      </c>
      <c r="M10" s="1867" t="s">
        <v>862</v>
      </c>
      <c r="N10" s="1867" t="s">
        <v>863</v>
      </c>
      <c r="O10" s="1867" t="s">
        <v>862</v>
      </c>
      <c r="P10" s="1867" t="s">
        <v>863</v>
      </c>
      <c r="Q10" s="1864"/>
    </row>
    <row r="11" spans="1:19" s="1870" customFormat="1" ht="47.25">
      <c r="A11" s="1868"/>
      <c r="B11" s="1868"/>
      <c r="C11" s="1869" t="s">
        <v>864</v>
      </c>
      <c r="D11" s="1869" t="s">
        <v>865</v>
      </c>
      <c r="E11" s="1869" t="s">
        <v>864</v>
      </c>
      <c r="F11" s="1869" t="s">
        <v>865</v>
      </c>
      <c r="G11" s="1869" t="s">
        <v>864</v>
      </c>
      <c r="H11" s="1869" t="s">
        <v>865</v>
      </c>
      <c r="I11" s="1869" t="s">
        <v>864</v>
      </c>
      <c r="J11" s="1869" t="s">
        <v>865</v>
      </c>
      <c r="K11" s="1869" t="s">
        <v>864</v>
      </c>
      <c r="L11" s="1869" t="s">
        <v>865</v>
      </c>
      <c r="M11" s="1869" t="s">
        <v>864</v>
      </c>
      <c r="N11" s="1869" t="s">
        <v>865</v>
      </c>
      <c r="O11" s="1869" t="s">
        <v>864</v>
      </c>
      <c r="P11" s="1869" t="s">
        <v>865</v>
      </c>
      <c r="Q11" s="1868"/>
    </row>
    <row r="12" spans="1:19" ht="21" customHeight="1">
      <c r="A12" s="1871">
        <v>1</v>
      </c>
      <c r="B12" s="1872" t="s">
        <v>866</v>
      </c>
      <c r="C12" s="1126">
        <v>17.644847731703791</v>
      </c>
      <c r="D12" s="1126">
        <v>3.5188243400000001</v>
      </c>
      <c r="E12" s="1126">
        <v>17.503427998616782</v>
      </c>
      <c r="F12" s="1226">
        <v>3.4568435940000004</v>
      </c>
      <c r="G12" s="1126">
        <v>17.924689737133576</v>
      </c>
      <c r="H12" s="1226">
        <v>3.4128980709999999</v>
      </c>
      <c r="I12" s="1126">
        <v>17.784110943777947</v>
      </c>
      <c r="J12" s="1226">
        <v>3.37157514</v>
      </c>
      <c r="K12" s="1126">
        <v>14.803636678082151</v>
      </c>
      <c r="L12" s="1226">
        <v>3.3263196649999998</v>
      </c>
      <c r="M12" s="1126">
        <v>16.928267007667671</v>
      </c>
      <c r="N12" s="1226">
        <v>3.2430650560000003</v>
      </c>
      <c r="O12" s="1126">
        <v>17.494361745682443</v>
      </c>
      <c r="P12" s="1126">
        <v>3.5610179209999999</v>
      </c>
      <c r="Q12" s="1873" t="s">
        <v>867</v>
      </c>
      <c r="S12" s="1874" t="e">
        <f>ROUND(#REF!,0)</f>
        <v>#REF!</v>
      </c>
    </row>
    <row r="13" spans="1:19" ht="21" customHeight="1">
      <c r="A13" s="1871">
        <v>2</v>
      </c>
      <c r="B13" s="1875" t="s">
        <v>868</v>
      </c>
      <c r="C13" s="1127">
        <v>50.535860710114228</v>
      </c>
      <c r="D13" s="1127">
        <v>3.88699E-4</v>
      </c>
      <c r="E13" s="1127">
        <v>60.540945847157666</v>
      </c>
      <c r="F13" s="1227">
        <v>0</v>
      </c>
      <c r="G13" s="1127">
        <v>61.055156683423107</v>
      </c>
      <c r="H13" s="1227">
        <v>0</v>
      </c>
      <c r="I13" s="1127">
        <v>59.868385349962345</v>
      </c>
      <c r="J13" s="1227">
        <v>1.9999999999999999E-6</v>
      </c>
      <c r="K13" s="1127">
        <v>57.11222767886855</v>
      </c>
      <c r="L13" s="1227">
        <v>0</v>
      </c>
      <c r="M13" s="1127">
        <v>86.258455254400971</v>
      </c>
      <c r="N13" s="1227">
        <v>0</v>
      </c>
      <c r="O13" s="1127">
        <v>84.429121192454076</v>
      </c>
      <c r="P13" s="1127">
        <v>0</v>
      </c>
      <c r="Q13" s="1876" t="s">
        <v>869</v>
      </c>
      <c r="S13" s="1874" t="e">
        <f>ROUND(#REF!,0)</f>
        <v>#REF!</v>
      </c>
    </row>
    <row r="14" spans="1:19" ht="21" customHeight="1">
      <c r="A14" s="1871">
        <v>3</v>
      </c>
      <c r="B14" s="1875" t="s">
        <v>587</v>
      </c>
      <c r="C14" s="1127">
        <v>1323.926175755415</v>
      </c>
      <c r="D14" s="1127">
        <v>37.989474152999996</v>
      </c>
      <c r="E14" s="1127">
        <v>1278.0287077493776</v>
      </c>
      <c r="F14" s="1227">
        <v>35.309062390000001</v>
      </c>
      <c r="G14" s="1127">
        <v>1217.8817579826614</v>
      </c>
      <c r="H14" s="1227">
        <v>35.382665630999995</v>
      </c>
      <c r="I14" s="1127">
        <v>1243.1609339635327</v>
      </c>
      <c r="J14" s="1227">
        <v>35.003593071000004</v>
      </c>
      <c r="K14" s="1127">
        <v>1178.1169638768931</v>
      </c>
      <c r="L14" s="1127">
        <v>32.847117929999989</v>
      </c>
      <c r="M14" s="1127">
        <v>1171.7131685886607</v>
      </c>
      <c r="N14" s="1127">
        <v>34.857136752999999</v>
      </c>
      <c r="O14" s="1127">
        <v>1321.4940704803898</v>
      </c>
      <c r="P14" s="1127">
        <v>33.006918430378548</v>
      </c>
      <c r="Q14" s="1876" t="s">
        <v>870</v>
      </c>
      <c r="S14" s="1874" t="e">
        <f>ROUND(#REF!,0)</f>
        <v>#REF!</v>
      </c>
    </row>
    <row r="15" spans="1:19" ht="33.75" customHeight="1">
      <c r="A15" s="1871">
        <v>4</v>
      </c>
      <c r="B15" s="1875" t="s">
        <v>871</v>
      </c>
      <c r="C15" s="1127">
        <v>218.41488333115845</v>
      </c>
      <c r="D15" s="1127">
        <v>1.7856892040000001</v>
      </c>
      <c r="E15" s="1127">
        <v>213.28881342878316</v>
      </c>
      <c r="F15" s="1227">
        <v>1.744672805</v>
      </c>
      <c r="G15" s="1127">
        <v>214.48265627717566</v>
      </c>
      <c r="H15" s="1227">
        <v>1.5830598730000003</v>
      </c>
      <c r="I15" s="1127">
        <v>210.7830196390322</v>
      </c>
      <c r="J15" s="1227">
        <v>1.5419571859999999</v>
      </c>
      <c r="K15" s="1127">
        <v>196.37528731186228</v>
      </c>
      <c r="L15" s="1127">
        <v>1.5157906850000002</v>
      </c>
      <c r="M15" s="1127">
        <v>221.90264552399378</v>
      </c>
      <c r="N15" s="1127">
        <v>1.2644023710000001</v>
      </c>
      <c r="O15" s="1127">
        <v>224.58319108122998</v>
      </c>
      <c r="P15" s="1127">
        <v>1.236963971</v>
      </c>
      <c r="Q15" s="1876" t="s">
        <v>872</v>
      </c>
      <c r="S15" s="1874" t="e">
        <f>ROUND(#REF!,0)</f>
        <v>#REF!</v>
      </c>
    </row>
    <row r="16" spans="1:19" ht="33">
      <c r="A16" s="1871">
        <v>5</v>
      </c>
      <c r="B16" s="1875" t="s">
        <v>873</v>
      </c>
      <c r="C16" s="1127">
        <v>25.213311699464001</v>
      </c>
      <c r="D16" s="1127">
        <v>0</v>
      </c>
      <c r="E16" s="1127">
        <v>24.936045415807524</v>
      </c>
      <c r="F16" s="1227">
        <v>0</v>
      </c>
      <c r="G16" s="1127">
        <v>24.742629930811457</v>
      </c>
      <c r="H16" s="1227">
        <v>0</v>
      </c>
      <c r="I16" s="1127">
        <v>24.589129820609752</v>
      </c>
      <c r="J16" s="1227">
        <v>0</v>
      </c>
      <c r="K16" s="1127">
        <v>23.299478744841313</v>
      </c>
      <c r="L16" s="1127">
        <v>0</v>
      </c>
      <c r="M16" s="1127">
        <v>24.068953293252584</v>
      </c>
      <c r="N16" s="1127">
        <v>0</v>
      </c>
      <c r="O16" s="1127">
        <v>16.598121694451102</v>
      </c>
      <c r="P16" s="1127">
        <v>0</v>
      </c>
      <c r="Q16" s="1877" t="s">
        <v>874</v>
      </c>
      <c r="S16" s="1874" t="e">
        <f>ROUND(#REF!,0)</f>
        <v>#REF!</v>
      </c>
    </row>
    <row r="17" spans="1:19" ht="21" customHeight="1">
      <c r="A17" s="1871">
        <v>6</v>
      </c>
      <c r="B17" s="1875" t="s">
        <v>875</v>
      </c>
      <c r="C17" s="1127">
        <v>668.32316748549204</v>
      </c>
      <c r="D17" s="1127">
        <v>171.18243212908564</v>
      </c>
      <c r="E17" s="1127">
        <v>666.04340444291097</v>
      </c>
      <c r="F17" s="1227">
        <v>166.83467422999999</v>
      </c>
      <c r="G17" s="1127">
        <v>704.30781677525465</v>
      </c>
      <c r="H17" s="1227">
        <v>165.56941881499998</v>
      </c>
      <c r="I17" s="1127">
        <v>710.54115049713403</v>
      </c>
      <c r="J17" s="1227">
        <v>159.16571465606839</v>
      </c>
      <c r="K17" s="1127">
        <v>733.57971918033309</v>
      </c>
      <c r="L17" s="1127">
        <v>162.4596670722143</v>
      </c>
      <c r="M17" s="1127">
        <v>737.29887358323526</v>
      </c>
      <c r="N17" s="1127">
        <v>157.13348820517723</v>
      </c>
      <c r="O17" s="1127">
        <v>730.25650150519687</v>
      </c>
      <c r="P17" s="1127">
        <v>152.29073958661851</v>
      </c>
      <c r="Q17" s="1877" t="s">
        <v>876</v>
      </c>
      <c r="S17" s="1874" t="e">
        <f>ROUND(#REF!,0)</f>
        <v>#REF!</v>
      </c>
    </row>
    <row r="18" spans="1:19" ht="33">
      <c r="A18" s="1871">
        <v>7</v>
      </c>
      <c r="B18" s="1875" t="s">
        <v>877</v>
      </c>
      <c r="C18" s="1127">
        <v>767.50310810962151</v>
      </c>
      <c r="D18" s="1127">
        <v>131.36558934726395</v>
      </c>
      <c r="E18" s="1127">
        <v>761.49884351177263</v>
      </c>
      <c r="F18" s="1227">
        <v>121.79424747525997</v>
      </c>
      <c r="G18" s="1127">
        <v>760.25640826551194</v>
      </c>
      <c r="H18" s="1227">
        <v>120.4324734863782</v>
      </c>
      <c r="I18" s="1127">
        <v>741.79969107654165</v>
      </c>
      <c r="J18" s="1227">
        <v>145.9426337108863</v>
      </c>
      <c r="K18" s="1127">
        <v>735.35416909988135</v>
      </c>
      <c r="L18" s="1127">
        <v>137.55008426691384</v>
      </c>
      <c r="M18" s="1127">
        <v>725.04264987342776</v>
      </c>
      <c r="N18" s="1127">
        <v>128.68105602226825</v>
      </c>
      <c r="O18" s="1127">
        <v>642.64413821192284</v>
      </c>
      <c r="P18" s="1127">
        <v>122.43635058033163</v>
      </c>
      <c r="Q18" s="1877" t="s">
        <v>878</v>
      </c>
      <c r="S18" s="1874" t="e">
        <f>ROUND(#REF!,0)</f>
        <v>#REF!</v>
      </c>
    </row>
    <row r="19" spans="1:19" ht="21" customHeight="1">
      <c r="A19" s="1871">
        <v>8</v>
      </c>
      <c r="B19" s="1875" t="s">
        <v>879</v>
      </c>
      <c r="C19" s="1127">
        <v>61.266502280925273</v>
      </c>
      <c r="D19" s="1127">
        <v>5.0002912569999998</v>
      </c>
      <c r="E19" s="1127">
        <v>68.607981136640504</v>
      </c>
      <c r="F19" s="1227">
        <v>4.9348133450000002</v>
      </c>
      <c r="G19" s="1127">
        <v>129.57128567891553</v>
      </c>
      <c r="H19" s="1227">
        <v>5.085174619</v>
      </c>
      <c r="I19" s="1127">
        <v>125.5001811935312</v>
      </c>
      <c r="J19" s="1227">
        <v>4.7600873860000004</v>
      </c>
      <c r="K19" s="1127">
        <v>73.018366337998032</v>
      </c>
      <c r="L19" s="1127">
        <v>6.2148827050000008</v>
      </c>
      <c r="M19" s="1127">
        <v>72.50330300536362</v>
      </c>
      <c r="N19" s="1127">
        <v>8.8584062299999999</v>
      </c>
      <c r="O19" s="1127">
        <v>73.140142794725037</v>
      </c>
      <c r="P19" s="1127">
        <v>7.4726117321322052</v>
      </c>
      <c r="Q19" s="1876" t="s">
        <v>880</v>
      </c>
      <c r="S19" s="1874" t="e">
        <f>ROUND(#REF!,0)</f>
        <v>#REF!</v>
      </c>
    </row>
    <row r="20" spans="1:19" ht="33.75" customHeight="1">
      <c r="A20" s="1871">
        <v>9</v>
      </c>
      <c r="B20" s="1875" t="s">
        <v>881</v>
      </c>
      <c r="C20" s="1127">
        <v>141.23537207578906</v>
      </c>
      <c r="D20" s="1127">
        <v>28.019127734000001</v>
      </c>
      <c r="E20" s="1127">
        <v>188.56349556605286</v>
      </c>
      <c r="F20" s="1227">
        <v>28.259326698000002</v>
      </c>
      <c r="G20" s="1127">
        <v>199.21014056480865</v>
      </c>
      <c r="H20" s="1227">
        <v>27.998250463000002</v>
      </c>
      <c r="I20" s="1127">
        <v>202.46867852777643</v>
      </c>
      <c r="J20" s="1227">
        <v>31.900309526000001</v>
      </c>
      <c r="K20" s="1127">
        <v>194.70508545156167</v>
      </c>
      <c r="L20" s="1127">
        <v>28.294891118000002</v>
      </c>
      <c r="M20" s="1127">
        <v>188.33693834779265</v>
      </c>
      <c r="N20" s="1127">
        <v>36.559595512999998</v>
      </c>
      <c r="O20" s="1127">
        <v>185.979138595183</v>
      </c>
      <c r="P20" s="1127">
        <v>34.898007667095513</v>
      </c>
      <c r="Q20" s="1876" t="s">
        <v>882</v>
      </c>
      <c r="S20" s="1874" t="e">
        <f>ROUND(#REF!,0)</f>
        <v>#REF!</v>
      </c>
    </row>
    <row r="21" spans="1:19" ht="21" customHeight="1">
      <c r="A21" s="1871">
        <v>10</v>
      </c>
      <c r="B21" s="1875" t="s">
        <v>883</v>
      </c>
      <c r="C21" s="1127">
        <v>140.37118586045517</v>
      </c>
      <c r="D21" s="1127">
        <v>0.58749081699999994</v>
      </c>
      <c r="E21" s="1127">
        <v>138.9607693616469</v>
      </c>
      <c r="F21" s="1227">
        <v>0.56316744900000004</v>
      </c>
      <c r="G21" s="1127">
        <v>52.613949959084636</v>
      </c>
      <c r="H21" s="1227">
        <v>0.61782807299999964</v>
      </c>
      <c r="I21" s="1127">
        <v>52.835748002828673</v>
      </c>
      <c r="J21" s="1227">
        <v>0.76999054099999964</v>
      </c>
      <c r="K21" s="1127">
        <v>118.66849597905376</v>
      </c>
      <c r="L21" s="1227">
        <v>0.43646832799999968</v>
      </c>
      <c r="M21" s="1127">
        <v>123.39552750502284</v>
      </c>
      <c r="N21" s="1227">
        <v>0.73558857999999994</v>
      </c>
      <c r="O21" s="1127">
        <v>119.78356839655497</v>
      </c>
      <c r="P21" s="1227">
        <v>1.0335030550000002</v>
      </c>
      <c r="Q21" s="1876" t="s">
        <v>884</v>
      </c>
      <c r="S21" s="1874" t="e">
        <f>ROUND(#REF!,0)</f>
        <v>#REF!</v>
      </c>
    </row>
    <row r="22" spans="1:19" ht="21" customHeight="1">
      <c r="A22" s="1871">
        <v>11</v>
      </c>
      <c r="B22" s="1875" t="s">
        <v>885</v>
      </c>
      <c r="C22" s="1127">
        <v>200.8315479798795</v>
      </c>
      <c r="D22" s="1127">
        <v>0.73974510973999996</v>
      </c>
      <c r="E22" s="1333">
        <v>191.38441114428082</v>
      </c>
      <c r="F22" s="1227">
        <v>0.67639640106999999</v>
      </c>
      <c r="G22" s="1127">
        <v>186.30876737720092</v>
      </c>
      <c r="H22" s="1227">
        <v>0.68110572673000003</v>
      </c>
      <c r="I22" s="1127">
        <v>188.99358665755858</v>
      </c>
      <c r="J22" s="1227">
        <v>0.68566314023999997</v>
      </c>
      <c r="K22" s="1127">
        <v>190.94495742905184</v>
      </c>
      <c r="L22" s="1227">
        <v>0.62283953224999988</v>
      </c>
      <c r="M22" s="1127">
        <v>184.76689874096314</v>
      </c>
      <c r="N22" s="1227">
        <v>0.62671082837999992</v>
      </c>
      <c r="O22" s="1127">
        <v>237.17534260623069</v>
      </c>
      <c r="P22" s="1227">
        <v>0.59597326061</v>
      </c>
      <c r="Q22" s="1876" t="s">
        <v>886</v>
      </c>
      <c r="S22" s="1874" t="e">
        <f>ROUND(#REF!,0)</f>
        <v>#REF!</v>
      </c>
    </row>
    <row r="23" spans="1:19" ht="21" customHeight="1">
      <c r="A23" s="1871">
        <v>12</v>
      </c>
      <c r="B23" s="1875" t="s">
        <v>887</v>
      </c>
      <c r="C23" s="1127">
        <v>862.31942791129268</v>
      </c>
      <c r="D23" s="1127">
        <v>63.041368814599998</v>
      </c>
      <c r="E23" s="1127">
        <v>847.97374227037585</v>
      </c>
      <c r="F23" s="1127">
        <v>59.044010140300003</v>
      </c>
      <c r="G23" s="1127">
        <v>816.43462092247307</v>
      </c>
      <c r="H23" s="1127">
        <v>57.116180713280002</v>
      </c>
      <c r="I23" s="1127">
        <v>747.7761185012148</v>
      </c>
      <c r="J23" s="1127">
        <v>59.770568205990003</v>
      </c>
      <c r="K23" s="1127">
        <v>711.58976423981994</v>
      </c>
      <c r="L23" s="1127">
        <v>46.987316543100007</v>
      </c>
      <c r="M23" s="1127">
        <v>769.91606879486153</v>
      </c>
      <c r="N23" s="1127">
        <v>52.318256078169995</v>
      </c>
      <c r="O23" s="1127">
        <v>732.54970591964377</v>
      </c>
      <c r="P23" s="1127">
        <v>36.88509083417857</v>
      </c>
      <c r="Q23" s="1876" t="s">
        <v>888</v>
      </c>
      <c r="S23" s="1874" t="e">
        <f>ROUND(#REF!,0)</f>
        <v>#REF!</v>
      </c>
    </row>
    <row r="24" spans="1:19" ht="33.75" customHeight="1">
      <c r="A24" s="1871">
        <v>13</v>
      </c>
      <c r="B24" s="1875" t="s">
        <v>889</v>
      </c>
      <c r="C24" s="1127">
        <v>26.009162388735163</v>
      </c>
      <c r="D24" s="1127">
        <v>12.727714994038999</v>
      </c>
      <c r="E24" s="1127">
        <v>24.844669828719557</v>
      </c>
      <c r="F24" s="1127">
        <v>12.24183693108</v>
      </c>
      <c r="G24" s="1127">
        <v>24.300374928941011</v>
      </c>
      <c r="H24" s="1127">
        <v>11.785180432008</v>
      </c>
      <c r="I24" s="1127">
        <v>25.29815975473252</v>
      </c>
      <c r="J24" s="1127">
        <v>6.9054367971659998</v>
      </c>
      <c r="K24" s="1127">
        <v>25.07873245405683</v>
      </c>
      <c r="L24" s="1127">
        <v>7.0584751402560002</v>
      </c>
      <c r="M24" s="1127">
        <v>24.503208205700229</v>
      </c>
      <c r="N24" s="1127">
        <v>7.7731301412959999</v>
      </c>
      <c r="O24" s="1127">
        <v>23.617734524178012</v>
      </c>
      <c r="P24" s="1127">
        <v>7.3151136022073642</v>
      </c>
      <c r="Q24" s="1876" t="s">
        <v>890</v>
      </c>
      <c r="S24" s="1874" t="e">
        <f>ROUND(#REF!,0)</f>
        <v>#REF!</v>
      </c>
    </row>
    <row r="25" spans="1:19" ht="33.75" customHeight="1">
      <c r="A25" s="1871">
        <v>14</v>
      </c>
      <c r="B25" s="1875" t="s">
        <v>891</v>
      </c>
      <c r="C25" s="1127">
        <v>0</v>
      </c>
      <c r="D25" s="1127">
        <v>0</v>
      </c>
      <c r="E25" s="1127">
        <v>0.01</v>
      </c>
      <c r="F25" s="1127">
        <v>0</v>
      </c>
      <c r="G25" s="1127">
        <v>0</v>
      </c>
      <c r="H25" s="1127">
        <v>0</v>
      </c>
      <c r="I25" s="1127">
        <v>0</v>
      </c>
      <c r="J25" s="1127">
        <v>0</v>
      </c>
      <c r="K25" s="1127">
        <v>0</v>
      </c>
      <c r="L25" s="1127">
        <v>0</v>
      </c>
      <c r="M25" s="1127">
        <v>0</v>
      </c>
      <c r="N25" s="1127">
        <v>0</v>
      </c>
      <c r="O25" s="1127">
        <v>0.4</v>
      </c>
      <c r="P25" s="1127">
        <v>0.2</v>
      </c>
      <c r="Q25" s="1876" t="s">
        <v>892</v>
      </c>
      <c r="S25" s="1874" t="e">
        <f>ROUND(#REF!,0)</f>
        <v>#REF!</v>
      </c>
    </row>
    <row r="26" spans="1:19" ht="33.75" customHeight="1">
      <c r="A26" s="1871">
        <v>15</v>
      </c>
      <c r="B26" s="1875" t="s">
        <v>893</v>
      </c>
      <c r="C26" s="1127">
        <v>15.16265124043108</v>
      </c>
      <c r="D26" s="1127">
        <v>0</v>
      </c>
      <c r="E26" s="1127">
        <v>15.26</v>
      </c>
      <c r="F26" s="1127">
        <v>0</v>
      </c>
      <c r="G26" s="1127">
        <v>15.21</v>
      </c>
      <c r="H26" s="1127">
        <v>0</v>
      </c>
      <c r="I26" s="1127">
        <v>15.3</v>
      </c>
      <c r="J26" s="1127">
        <v>0</v>
      </c>
      <c r="K26" s="1127">
        <v>15.29</v>
      </c>
      <c r="L26" s="1127">
        <v>0</v>
      </c>
      <c r="M26" s="1127">
        <v>15.19</v>
      </c>
      <c r="N26" s="1127">
        <v>0</v>
      </c>
      <c r="O26" s="1127">
        <v>15.18</v>
      </c>
      <c r="P26" s="1127">
        <v>0</v>
      </c>
      <c r="Q26" s="1876" t="s">
        <v>894</v>
      </c>
      <c r="S26" s="1874" t="e">
        <f>ROUND(#REF!,0)</f>
        <v>#REF!</v>
      </c>
    </row>
    <row r="27" spans="1:19" ht="21" customHeight="1">
      <c r="A27" s="1871">
        <v>16</v>
      </c>
      <c r="B27" s="1875" t="s">
        <v>895</v>
      </c>
      <c r="C27" s="1127">
        <v>26.05817557936</v>
      </c>
      <c r="D27" s="1127">
        <v>3.393243923</v>
      </c>
      <c r="E27" s="1127">
        <v>26.309242405359999</v>
      </c>
      <c r="F27" s="1127">
        <v>3.4531963761900002</v>
      </c>
      <c r="G27" s="1127">
        <v>25.829867138770002</v>
      </c>
      <c r="H27" s="1127">
        <v>2.6169173674400001</v>
      </c>
      <c r="I27" s="1127">
        <v>16.70451111077</v>
      </c>
      <c r="J27" s="1127">
        <v>3.23191852844</v>
      </c>
      <c r="K27" s="1127">
        <v>16.120574068769997</v>
      </c>
      <c r="L27" s="1127">
        <v>4.4857715934399991</v>
      </c>
      <c r="M27" s="1127">
        <v>15.872603134000002</v>
      </c>
      <c r="N27" s="1127">
        <v>2.4548434699999997</v>
      </c>
      <c r="O27" s="1127">
        <v>15.305366968479028</v>
      </c>
      <c r="P27" s="1127">
        <v>2.4914693251831901</v>
      </c>
      <c r="Q27" s="1877" t="s">
        <v>896</v>
      </c>
      <c r="S27" s="1874" t="e">
        <f>ROUND(#REF!,0)</f>
        <v>#REF!</v>
      </c>
    </row>
    <row r="28" spans="1:19" ht="21" customHeight="1">
      <c r="A28" s="1871">
        <v>17</v>
      </c>
      <c r="B28" s="1875" t="s">
        <v>897</v>
      </c>
      <c r="C28" s="1127">
        <v>50.489628277999991</v>
      </c>
      <c r="D28" s="1127">
        <v>3.5196029979999999</v>
      </c>
      <c r="E28" s="1127">
        <v>51.783002375000002</v>
      </c>
      <c r="F28" s="1127">
        <v>3.2114183900000004</v>
      </c>
      <c r="G28" s="1127">
        <v>50.707112541999997</v>
      </c>
      <c r="H28" s="1127">
        <v>2.9108529110000001</v>
      </c>
      <c r="I28" s="1127">
        <v>48.242265760999999</v>
      </c>
      <c r="J28" s="1127">
        <v>3.0418986089999995</v>
      </c>
      <c r="K28" s="1127">
        <v>47.250271470999998</v>
      </c>
      <c r="L28" s="1127">
        <v>2.4810330810000001</v>
      </c>
      <c r="M28" s="1127">
        <v>46.109960063000003</v>
      </c>
      <c r="N28" s="1127">
        <v>2.7260701800000002</v>
      </c>
      <c r="O28" s="1127">
        <v>45.866177031600003</v>
      </c>
      <c r="P28" s="1127">
        <v>2.1793095789999999</v>
      </c>
      <c r="Q28" s="1876" t="s">
        <v>898</v>
      </c>
      <c r="S28" s="1874" t="e">
        <f>ROUND(#REF!,0)</f>
        <v>#REF!</v>
      </c>
    </row>
    <row r="29" spans="1:19" ht="21" customHeight="1">
      <c r="A29" s="1871">
        <v>18</v>
      </c>
      <c r="B29" s="1875" t="s">
        <v>899</v>
      </c>
      <c r="C29" s="1127">
        <v>9.3667642318344964</v>
      </c>
      <c r="D29" s="1127">
        <v>6.1758923710000007</v>
      </c>
      <c r="E29" s="1127">
        <v>8.3598997071578758</v>
      </c>
      <c r="F29" s="1127">
        <v>6.2279431539999974</v>
      </c>
      <c r="G29" s="1127">
        <v>8.318728669775183</v>
      </c>
      <c r="H29" s="1127">
        <v>6.2770729509999992</v>
      </c>
      <c r="I29" s="1127">
        <v>8.4394419110954839</v>
      </c>
      <c r="J29" s="1127">
        <v>6.3573049489999987</v>
      </c>
      <c r="K29" s="1127">
        <v>8.49526325169853</v>
      </c>
      <c r="L29" s="1127">
        <v>6.3998434658999974</v>
      </c>
      <c r="M29" s="1127">
        <v>8.5562049515027336</v>
      </c>
      <c r="N29" s="1127">
        <v>6.4483407359999996</v>
      </c>
      <c r="O29" s="1127">
        <v>8.2426687899716224</v>
      </c>
      <c r="P29" s="1127">
        <v>6.5037080909999982</v>
      </c>
      <c r="Q29" s="1876" t="s">
        <v>900</v>
      </c>
      <c r="S29" s="1874" t="e">
        <f>ROUND(#REF!,0)</f>
        <v>#REF!</v>
      </c>
    </row>
    <row r="30" spans="1:19" ht="21" customHeight="1">
      <c r="A30" s="1871">
        <v>19</v>
      </c>
      <c r="B30" s="1875" t="s">
        <v>901</v>
      </c>
      <c r="C30" s="1127">
        <v>662.16829325517779</v>
      </c>
      <c r="D30" s="1127">
        <v>99.368357908000007</v>
      </c>
      <c r="E30" s="1127">
        <v>610.66611737602727</v>
      </c>
      <c r="F30" s="1127">
        <v>98.77119987399999</v>
      </c>
      <c r="G30" s="1127">
        <v>595.69531952752868</v>
      </c>
      <c r="H30" s="1127">
        <v>96.121784356000006</v>
      </c>
      <c r="I30" s="1127">
        <v>738.15971907788889</v>
      </c>
      <c r="J30" s="1127">
        <v>174.12788039299988</v>
      </c>
      <c r="K30" s="1127">
        <v>737.51707700284521</v>
      </c>
      <c r="L30" s="1127">
        <v>193.74705647599995</v>
      </c>
      <c r="M30" s="1127">
        <v>790.8894235743287</v>
      </c>
      <c r="N30" s="1127">
        <v>170.83486303099994</v>
      </c>
      <c r="O30" s="1127">
        <v>686.11656123476291</v>
      </c>
      <c r="P30" s="1127">
        <v>161.63154339732347</v>
      </c>
      <c r="Q30" s="1876" t="s">
        <v>902</v>
      </c>
      <c r="S30" s="1874" t="e">
        <f>ROUND(#REF!,0)</f>
        <v>#REF!</v>
      </c>
    </row>
    <row r="31" spans="1:19" ht="63">
      <c r="A31" s="1871">
        <v>20</v>
      </c>
      <c r="B31" s="1875" t="s">
        <v>903</v>
      </c>
      <c r="C31" s="1127">
        <v>34.017403856510327</v>
      </c>
      <c r="D31" s="1127">
        <v>0.35493017100000018</v>
      </c>
      <c r="E31" s="1127">
        <v>33.987522810946501</v>
      </c>
      <c r="F31" s="1127">
        <v>6.8481596000000311E-2</v>
      </c>
      <c r="G31" s="1127">
        <v>33.559051892308567</v>
      </c>
      <c r="H31" s="1127">
        <v>5.985424700000009E-2</v>
      </c>
      <c r="I31" s="1127">
        <v>33.344960792422796</v>
      </c>
      <c r="J31" s="1127">
        <v>3.1729382000000257E-2</v>
      </c>
      <c r="K31" s="1127">
        <v>32.04755891900475</v>
      </c>
      <c r="L31" s="1127">
        <v>6.836404700000033E-2</v>
      </c>
      <c r="M31" s="1127">
        <v>30.999807778635731</v>
      </c>
      <c r="N31" s="1127">
        <v>6.875706400000009E-2</v>
      </c>
      <c r="O31" s="1127">
        <v>30.870913151724832</v>
      </c>
      <c r="P31" s="1127">
        <v>6.6653444000000159E-2</v>
      </c>
      <c r="Q31" s="1877" t="s">
        <v>904</v>
      </c>
      <c r="S31" s="1874" t="e">
        <f>ROUND(#REF!,0)</f>
        <v>#REF!</v>
      </c>
    </row>
    <row r="32" spans="1:19" ht="33.75" customHeight="1">
      <c r="A32" s="1871">
        <v>21</v>
      </c>
      <c r="B32" s="1875" t="s">
        <v>905</v>
      </c>
      <c r="C32" s="1127">
        <v>0</v>
      </c>
      <c r="D32" s="1127">
        <v>0</v>
      </c>
      <c r="E32" s="1127">
        <v>0</v>
      </c>
      <c r="F32" s="1127">
        <v>0</v>
      </c>
      <c r="G32" s="1127">
        <v>0</v>
      </c>
      <c r="H32" s="1127">
        <v>0</v>
      </c>
      <c r="I32" s="1127">
        <v>0</v>
      </c>
      <c r="J32" s="1127">
        <v>0</v>
      </c>
      <c r="K32" s="1127">
        <v>0</v>
      </c>
      <c r="L32" s="1127">
        <v>0</v>
      </c>
      <c r="M32" s="1127">
        <v>0</v>
      </c>
      <c r="N32" s="1127">
        <v>0</v>
      </c>
      <c r="O32" s="1127">
        <v>0</v>
      </c>
      <c r="P32" s="1127">
        <v>0</v>
      </c>
      <c r="Q32" s="1876" t="s">
        <v>906</v>
      </c>
      <c r="S32" s="1874" t="e">
        <f>ROUND(#REF!,0)</f>
        <v>#REF!</v>
      </c>
    </row>
    <row r="33" spans="1:19" s="1881" customFormat="1" ht="31.5" customHeight="1">
      <c r="A33" s="1878"/>
      <c r="B33" s="1879" t="s">
        <v>397</v>
      </c>
      <c r="C33" s="1123">
        <v>5300.8274697613597</v>
      </c>
      <c r="D33" s="1123">
        <v>568.78016396972851</v>
      </c>
      <c r="E33" s="1123">
        <v>5228.5610423766348</v>
      </c>
      <c r="F33" s="1123">
        <v>546.6212908489</v>
      </c>
      <c r="G33" s="1123">
        <v>5138.3903348537788</v>
      </c>
      <c r="H33" s="1123">
        <v>537.65071773583611</v>
      </c>
      <c r="I33" s="1123">
        <v>5211.6297925814106</v>
      </c>
      <c r="J33" s="1123">
        <v>636.59826322179049</v>
      </c>
      <c r="K33" s="1123">
        <v>5109.3676291756237</v>
      </c>
      <c r="L33" s="1123">
        <v>634.49592164907415</v>
      </c>
      <c r="M33" s="1123">
        <v>5254.2629572258102</v>
      </c>
      <c r="N33" s="1123">
        <v>614.5637102592915</v>
      </c>
      <c r="O33" s="1123">
        <v>5211.7368259243813</v>
      </c>
      <c r="P33" s="1123">
        <v>573.784974477059</v>
      </c>
      <c r="Q33" s="1880" t="s">
        <v>386</v>
      </c>
      <c r="S33" s="1874" t="e">
        <f>ROUND(#REF!,0)</f>
        <v>#REF!</v>
      </c>
    </row>
    <row r="34" spans="1:19" ht="27.75" customHeight="1">
      <c r="A34" s="253" t="s">
        <v>907</v>
      </c>
      <c r="B34" s="1882"/>
      <c r="C34" s="1883"/>
      <c r="D34" s="1883"/>
      <c r="E34" s="1883"/>
      <c r="F34" s="1883"/>
      <c r="G34" s="1883"/>
      <c r="H34" s="1883"/>
      <c r="I34" s="1883"/>
      <c r="J34" s="1883"/>
      <c r="K34" s="1883"/>
      <c r="L34" s="1883"/>
      <c r="M34" s="1883"/>
      <c r="N34" s="1883"/>
      <c r="O34" s="1883"/>
      <c r="P34" s="1883"/>
      <c r="Q34" s="1884" t="s">
        <v>908</v>
      </c>
    </row>
    <row r="35" spans="1:19" ht="18">
      <c r="A35" s="1885"/>
      <c r="B35" s="1882"/>
      <c r="C35" s="1883"/>
      <c r="D35" s="1883"/>
      <c r="E35" s="1883"/>
      <c r="F35" s="1883"/>
      <c r="G35" s="1883"/>
      <c r="H35" s="1883"/>
      <c r="I35" s="1883"/>
      <c r="J35" s="1883"/>
      <c r="K35" s="1883"/>
      <c r="L35" s="1883"/>
      <c r="M35" s="1883"/>
      <c r="N35" s="1883"/>
      <c r="O35" s="1883"/>
      <c r="P35" s="1883"/>
      <c r="Q35" s="1886"/>
    </row>
    <row r="36" spans="1:19">
      <c r="A36" s="1887"/>
      <c r="B36" s="1887"/>
      <c r="C36" s="1887"/>
      <c r="D36" s="1887"/>
      <c r="E36" s="1887"/>
      <c r="F36" s="1887"/>
      <c r="G36" s="1887"/>
      <c r="H36" s="1887"/>
      <c r="I36" s="1887"/>
      <c r="J36" s="1887"/>
      <c r="K36" s="1887"/>
      <c r="L36" s="1887"/>
      <c r="M36" s="1887"/>
      <c r="N36" s="1887"/>
      <c r="O36" s="1887"/>
      <c r="P36" s="1887"/>
    </row>
    <row r="37" spans="1:19">
      <c r="A37" s="1888" t="s">
        <v>909</v>
      </c>
      <c r="B37" s="1888"/>
      <c r="C37" s="1888"/>
      <c r="D37" s="1888"/>
      <c r="E37" s="1888"/>
      <c r="F37" s="1888"/>
      <c r="G37" s="1888"/>
      <c r="H37" s="1888"/>
      <c r="I37" s="1888"/>
      <c r="J37" s="1888"/>
      <c r="K37" s="1888"/>
      <c r="L37" s="1888"/>
      <c r="M37" s="1888"/>
      <c r="N37" s="1888"/>
      <c r="O37" s="1888"/>
      <c r="P37" s="1888"/>
      <c r="Q37" s="1888"/>
    </row>
    <row r="38" spans="1:19">
      <c r="C38" s="1890"/>
      <c r="D38" s="1890"/>
      <c r="E38" s="1890"/>
      <c r="F38" s="1890"/>
      <c r="G38" s="1890"/>
      <c r="H38" s="1890"/>
      <c r="I38" s="1890"/>
      <c r="J38" s="1890"/>
      <c r="K38" s="1890"/>
      <c r="L38" s="1890"/>
      <c r="M38" s="1890"/>
      <c r="N38" s="1890"/>
      <c r="O38" s="1890"/>
      <c r="P38" s="1890"/>
    </row>
    <row r="39" spans="1:19">
      <c r="C39" s="1890"/>
      <c r="D39" s="1890"/>
      <c r="E39" s="1890"/>
      <c r="F39" s="1890"/>
      <c r="G39" s="1890"/>
      <c r="H39" s="1890"/>
      <c r="I39" s="1890"/>
      <c r="J39" s="1890"/>
      <c r="K39" s="1890"/>
      <c r="L39" s="1890"/>
      <c r="M39" s="1890"/>
      <c r="N39" s="1890"/>
      <c r="O39" s="1890"/>
      <c r="P39" s="1890"/>
    </row>
    <row r="41" spans="1:19">
      <c r="C41" s="1891"/>
      <c r="D41" s="1891"/>
      <c r="E41" s="1891"/>
      <c r="F41" s="1891"/>
      <c r="G41" s="1891"/>
      <c r="H41" s="1891"/>
      <c r="I41" s="1891"/>
      <c r="J41" s="1891"/>
      <c r="K41" s="1891"/>
      <c r="L41" s="1891"/>
      <c r="M41" s="1891"/>
      <c r="N41" s="1891"/>
      <c r="O41" s="1891"/>
      <c r="P41" s="1891"/>
      <c r="Q41" s="1891"/>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3"/>
  <sheetViews>
    <sheetView zoomScale="80" zoomScaleNormal="80" workbookViewId="0">
      <pane ySplit="8" topLeftCell="A14" activePane="bottomLeft" state="frozen"/>
      <selection activeCell="B12" sqref="B12"/>
      <selection pane="bottomLeft" activeCell="B12" sqref="B12"/>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1771</v>
      </c>
      <c r="B1" s="1854"/>
      <c r="C1" s="1854"/>
      <c r="D1" s="1854"/>
      <c r="E1" s="1854"/>
    </row>
    <row r="2" spans="1:5" s="381" customFormat="1" ht="21.2" customHeight="1">
      <c r="A2" s="1690" t="s">
        <v>910</v>
      </c>
      <c r="B2" s="382"/>
      <c r="C2" s="382"/>
      <c r="D2" s="382"/>
      <c r="E2" s="382"/>
    </row>
    <row r="3" spans="1:5" s="381" customFormat="1" ht="21.2" customHeight="1">
      <c r="A3" s="1690" t="s">
        <v>911</v>
      </c>
      <c r="B3" s="382"/>
      <c r="C3" s="382"/>
      <c r="D3" s="382"/>
      <c r="E3" s="382"/>
    </row>
    <row r="4" spans="1:5" s="381" customFormat="1" ht="18">
      <c r="A4" s="277" t="s">
        <v>912</v>
      </c>
      <c r="B4" s="382"/>
      <c r="C4" s="382"/>
      <c r="D4" s="382"/>
      <c r="E4" s="382"/>
    </row>
    <row r="5" spans="1:5" s="381" customFormat="1" ht="18">
      <c r="A5" s="277" t="s">
        <v>913</v>
      </c>
      <c r="B5" s="382"/>
      <c r="C5" s="382"/>
      <c r="D5" s="382"/>
      <c r="E5" s="382"/>
    </row>
    <row r="6" spans="1:5" s="26" customFormat="1">
      <c r="A6" s="1855" t="s">
        <v>373</v>
      </c>
      <c r="C6" s="900"/>
      <c r="D6" s="901"/>
      <c r="E6" s="20" t="s">
        <v>374</v>
      </c>
    </row>
    <row r="7" spans="1:5" s="39" customFormat="1" ht="22.7" customHeight="1">
      <c r="A7" s="1856" t="s">
        <v>383</v>
      </c>
      <c r="B7" s="113"/>
      <c r="C7" s="72" t="s">
        <v>436</v>
      </c>
      <c r="D7" s="79" t="s">
        <v>914</v>
      </c>
      <c r="E7" s="94" t="s">
        <v>386</v>
      </c>
    </row>
    <row r="8" spans="1:5" s="39" customFormat="1" ht="22.7" customHeight="1">
      <c r="A8" s="87" t="s">
        <v>391</v>
      </c>
      <c r="B8" s="88"/>
      <c r="C8" s="90" t="s">
        <v>410</v>
      </c>
      <c r="D8" s="1857" t="s">
        <v>915</v>
      </c>
      <c r="E8" s="90" t="s">
        <v>397</v>
      </c>
    </row>
    <row r="9" spans="1:5" s="5" customFormat="1" ht="20.25" customHeight="1">
      <c r="A9" s="770">
        <v>2017</v>
      </c>
      <c r="B9" s="923" t="s">
        <v>243</v>
      </c>
      <c r="C9" s="671">
        <v>8178.5041545855274</v>
      </c>
      <c r="D9" s="671">
        <v>435.86081999999999</v>
      </c>
      <c r="E9" s="671">
        <f>SUM(C9:D9)</f>
        <v>8614.3649745855273</v>
      </c>
    </row>
    <row r="10" spans="1:5" s="8" customFormat="1">
      <c r="A10" s="356"/>
      <c r="B10" s="407" t="s">
        <v>244</v>
      </c>
      <c r="C10" s="671">
        <v>8252.4678192411138</v>
      </c>
      <c r="D10" s="671">
        <v>431.78778999999997</v>
      </c>
      <c r="E10" s="670">
        <f>SUM(C10:D10)</f>
        <v>8684.2556092411141</v>
      </c>
    </row>
    <row r="11" spans="1:5" s="8" customFormat="1">
      <c r="A11" s="356"/>
      <c r="B11" s="407" t="s">
        <v>245</v>
      </c>
      <c r="C11" s="671">
        <v>8436.957759661982</v>
      </c>
      <c r="D11" s="671">
        <v>455.39656999999994</v>
      </c>
      <c r="E11" s="670">
        <f>SUM(C11:D11)</f>
        <v>8892.3543296619828</v>
      </c>
    </row>
    <row r="12" spans="1:5" s="8" customFormat="1">
      <c r="A12" s="356"/>
      <c r="B12" s="407" t="s">
        <v>242</v>
      </c>
      <c r="C12" s="671">
        <v>8699.124279419173</v>
      </c>
      <c r="D12" s="671">
        <v>435.53227999999996</v>
      </c>
      <c r="E12" s="670">
        <f>SUM(C12:D12)-0.02</f>
        <v>9134.636559419172</v>
      </c>
    </row>
    <row r="13" spans="1:5" s="5" customFormat="1" ht="20.25" customHeight="1">
      <c r="A13" s="770">
        <v>2018</v>
      </c>
      <c r="B13" s="923" t="s">
        <v>243</v>
      </c>
      <c r="C13" s="671">
        <v>8986.7775897897918</v>
      </c>
      <c r="D13" s="671">
        <v>455.50196</v>
      </c>
      <c r="E13" s="671">
        <f>SUM(C13:D13)</f>
        <v>9442.2795497897914</v>
      </c>
    </row>
    <row r="14" spans="1:5" s="8" customFormat="1">
      <c r="A14" s="356"/>
      <c r="B14" s="407" t="s">
        <v>244</v>
      </c>
      <c r="C14" s="671">
        <v>9202.3386112149165</v>
      </c>
      <c r="D14" s="671">
        <v>463.52499999999998</v>
      </c>
      <c r="E14" s="670">
        <f>SUM(C14:D14)-0.02</f>
        <v>9665.8436112149157</v>
      </c>
    </row>
    <row r="15" spans="1:5" s="8" customFormat="1">
      <c r="A15" s="356"/>
      <c r="B15" s="407" t="s">
        <v>245</v>
      </c>
      <c r="C15" s="671">
        <v>9783.7296130007235</v>
      </c>
      <c r="D15" s="671">
        <v>474.12524999999999</v>
      </c>
      <c r="E15" s="670">
        <f>SUM(C15:D15)</f>
        <v>10257.854863000723</v>
      </c>
    </row>
    <row r="16" spans="1:5" s="8" customFormat="1">
      <c r="A16" s="356"/>
      <c r="B16" s="407" t="s">
        <v>242</v>
      </c>
      <c r="C16" s="671">
        <v>9519.8911722057455</v>
      </c>
      <c r="D16" s="671">
        <v>480.35700000000003</v>
      </c>
      <c r="E16" s="670">
        <f>SUM(C16:D16)+0.01</f>
        <v>10000.258172205746</v>
      </c>
    </row>
    <row r="17" spans="1:5" s="8" customFormat="1" ht="20.25" customHeight="1">
      <c r="A17" s="770">
        <v>2019</v>
      </c>
      <c r="B17" s="923" t="s">
        <v>243</v>
      </c>
      <c r="C17" s="671">
        <v>9623.1739906865823</v>
      </c>
      <c r="D17" s="671">
        <v>471.315</v>
      </c>
      <c r="E17" s="671">
        <f>SUM(C17:D17)+0.03</f>
        <v>10094.518990686583</v>
      </c>
    </row>
    <row r="18" spans="1:5" s="5" customFormat="1" ht="15" customHeight="1">
      <c r="A18" s="770"/>
      <c r="B18" s="923" t="s">
        <v>244</v>
      </c>
      <c r="C18" s="671">
        <v>9887.3332244197209</v>
      </c>
      <c r="D18" s="671">
        <v>469.25713807653727</v>
      </c>
      <c r="E18" s="671">
        <v>10356.590362496258</v>
      </c>
    </row>
    <row r="19" spans="1:5" s="5" customFormat="1" ht="15" customHeight="1">
      <c r="A19" s="770"/>
      <c r="B19" s="923" t="s">
        <v>245</v>
      </c>
      <c r="C19" s="671">
        <v>9783.7296130007235</v>
      </c>
      <c r="D19" s="671">
        <v>505.82149599999997</v>
      </c>
      <c r="E19" s="671">
        <f>SUM(C19:D19)-0.01</f>
        <v>10289.541109000724</v>
      </c>
    </row>
    <row r="20" spans="1:5" s="5" customFormat="1" ht="15" customHeight="1">
      <c r="A20" s="770"/>
      <c r="B20" s="923" t="s">
        <v>242</v>
      </c>
      <c r="C20" s="671">
        <v>9736.3989501659489</v>
      </c>
      <c r="D20" s="671">
        <v>508.60300000000001</v>
      </c>
      <c r="E20" s="671">
        <f>SUM(C20:D20)-0.01</f>
        <v>10244.991950165948</v>
      </c>
    </row>
    <row r="21" spans="1:5" s="5" customFormat="1" ht="21" customHeight="1">
      <c r="A21" s="770">
        <v>2020</v>
      </c>
      <c r="B21" s="923" t="s">
        <v>243</v>
      </c>
      <c r="C21" s="671">
        <v>10125.599310966511</v>
      </c>
      <c r="D21" s="671">
        <v>450.98899999999998</v>
      </c>
      <c r="E21" s="671">
        <f t="shared" ref="E21:E26" si="0">SUM(C21:D21)</f>
        <v>10576.58831096651</v>
      </c>
    </row>
    <row r="22" spans="1:5" s="8" customFormat="1">
      <c r="A22" s="356"/>
      <c r="B22" s="407" t="s">
        <v>244</v>
      </c>
      <c r="C22" s="671">
        <v>10181.708217173877</v>
      </c>
      <c r="D22" s="671">
        <v>420.44170277622788</v>
      </c>
      <c r="E22" s="1332">
        <f t="shared" si="0"/>
        <v>10602.149919950105</v>
      </c>
    </row>
    <row r="23" spans="1:5" s="8" customFormat="1">
      <c r="A23" s="356"/>
      <c r="B23" s="407" t="s">
        <v>245</v>
      </c>
      <c r="C23" s="671">
        <v>10196.731936263444</v>
      </c>
      <c r="D23" s="671">
        <v>426.11181207388859</v>
      </c>
      <c r="E23" s="670">
        <v>10622.843748337333</v>
      </c>
    </row>
    <row r="24" spans="1:5" s="8" customFormat="1">
      <c r="A24" s="356"/>
      <c r="B24" s="407" t="s">
        <v>242</v>
      </c>
      <c r="C24" s="671">
        <v>10413.786929066708</v>
      </c>
      <c r="D24" s="671">
        <v>413.07799999999997</v>
      </c>
      <c r="E24" s="670">
        <v>10826.864929066707</v>
      </c>
    </row>
    <row r="25" spans="1:5" s="5" customFormat="1" ht="21" customHeight="1">
      <c r="A25" s="770">
        <v>2021</v>
      </c>
      <c r="B25" s="923" t="s">
        <v>243</v>
      </c>
      <c r="C25" s="671">
        <v>10556.732305438796</v>
      </c>
      <c r="D25" s="671">
        <v>393.97699999999998</v>
      </c>
      <c r="E25" s="953">
        <f t="shared" si="0"/>
        <v>10950.709305438797</v>
      </c>
    </row>
    <row r="26" spans="1:5" s="8" customFormat="1">
      <c r="A26" s="356"/>
      <c r="B26" s="407" t="s">
        <v>244</v>
      </c>
      <c r="C26" s="671">
        <v>10718.958351654859</v>
      </c>
      <c r="D26" s="671">
        <v>382.32794491241521</v>
      </c>
      <c r="E26" s="670">
        <f t="shared" si="0"/>
        <v>11101.286296567274</v>
      </c>
    </row>
    <row r="27" spans="1:5" s="8" customFormat="1">
      <c r="A27" s="356"/>
      <c r="B27" s="407" t="s">
        <v>245</v>
      </c>
      <c r="C27" s="671">
        <v>10730.63662614669</v>
      </c>
      <c r="D27" s="671">
        <v>382.32794491241521</v>
      </c>
      <c r="E27" s="670">
        <f t="shared" ref="E27" si="1">SUM(C27:D27)</f>
        <v>11112.964571059105</v>
      </c>
    </row>
    <row r="28" spans="1:5" s="8" customFormat="1">
      <c r="A28" s="356"/>
      <c r="B28" s="407" t="s">
        <v>242</v>
      </c>
      <c r="C28" s="671">
        <v>10906.303339064274</v>
      </c>
      <c r="D28" s="671">
        <v>386.78900323804288</v>
      </c>
      <c r="E28" s="670">
        <v>11293.092342302318</v>
      </c>
    </row>
    <row r="29" spans="1:5" s="5" customFormat="1" ht="21" customHeight="1">
      <c r="A29" s="770">
        <v>2022</v>
      </c>
      <c r="B29" s="923" t="s">
        <v>243</v>
      </c>
      <c r="C29" s="671">
        <v>11072.258362172841</v>
      </c>
      <c r="D29" s="671">
        <v>387.40363299999996</v>
      </c>
      <c r="E29" s="953">
        <v>11459.661995172841</v>
      </c>
    </row>
    <row r="30" spans="1:5" s="8" customFormat="1">
      <c r="A30" s="356"/>
      <c r="B30" s="407" t="s">
        <v>244</v>
      </c>
      <c r="C30" s="671">
        <v>11345.7369195418</v>
      </c>
      <c r="D30" s="671">
        <v>379.14785042841595</v>
      </c>
      <c r="E30" s="953">
        <v>11724.834769970217</v>
      </c>
    </row>
    <row r="31" spans="1:5" s="8" customFormat="1">
      <c r="A31" s="356"/>
      <c r="B31" s="407" t="s">
        <v>245</v>
      </c>
      <c r="C31" s="671">
        <v>11549.2</v>
      </c>
      <c r="D31" s="671">
        <v>379.860187</v>
      </c>
      <c r="E31" s="953">
        <f>SUM(C31:D31)+0.02</f>
        <v>11929.080187000001</v>
      </c>
    </row>
    <row r="32" spans="1:5" s="8" customFormat="1">
      <c r="A32" s="356"/>
      <c r="B32" s="407" t="s">
        <v>242</v>
      </c>
      <c r="C32" s="671">
        <v>11298.088209443948</v>
      </c>
      <c r="D32" s="671">
        <v>364.50400000000002</v>
      </c>
      <c r="E32" s="953">
        <f>SUM(C32:D32)</f>
        <v>11662.592209443948</v>
      </c>
    </row>
    <row r="33" spans="1:5" s="5" customFormat="1" ht="21" customHeight="1">
      <c r="A33" s="770">
        <v>2023</v>
      </c>
      <c r="B33" s="923" t="s">
        <v>243</v>
      </c>
      <c r="C33" s="671">
        <v>11552.302462948268</v>
      </c>
      <c r="D33" s="671">
        <v>355.01965300000001</v>
      </c>
      <c r="E33" s="953">
        <f>SUM(C33:D33)</f>
        <v>11907.322115948267</v>
      </c>
    </row>
    <row r="34" spans="1:5" s="8" customFormat="1">
      <c r="A34" s="356"/>
      <c r="B34" s="407" t="s">
        <v>244</v>
      </c>
      <c r="C34" s="671">
        <f>'20'!L24</f>
        <v>11634.944942923375</v>
      </c>
      <c r="D34" s="671">
        <v>364.30890988992115</v>
      </c>
      <c r="E34" s="953">
        <f>SUM(C34:D34)-0.05</f>
        <v>11999.203852813298</v>
      </c>
    </row>
    <row r="35" spans="1:5" s="8" customFormat="1">
      <c r="A35" s="356"/>
      <c r="B35" s="407" t="s">
        <v>245</v>
      </c>
      <c r="C35" s="671">
        <f>'20'!L25</f>
        <v>11597.156394214564</v>
      </c>
      <c r="D35" s="671">
        <v>643.22200715859788</v>
      </c>
      <c r="E35" s="953">
        <f>SUM(C35:D35)</f>
        <v>12240.378401373162</v>
      </c>
    </row>
    <row r="36" spans="1:5" s="8" customFormat="1">
      <c r="A36" s="356"/>
      <c r="B36" s="407" t="s">
        <v>242</v>
      </c>
      <c r="C36" s="671">
        <f>'20'!L26</f>
        <v>11779.271154676429</v>
      </c>
      <c r="D36" s="671">
        <v>1328.962749</v>
      </c>
      <c r="E36" s="953">
        <f>SUM(C36:D36)+0.03</f>
        <v>13108.26390367643</v>
      </c>
    </row>
    <row r="37" spans="1:5" s="5" customFormat="1" ht="21" customHeight="1">
      <c r="A37" s="770">
        <v>2024</v>
      </c>
      <c r="B37" s="923" t="s">
        <v>243</v>
      </c>
      <c r="C37" s="671">
        <f>'20'!L27</f>
        <v>12125.640672090414</v>
      </c>
      <c r="D37" s="671">
        <v>2024.9595220125063</v>
      </c>
      <c r="E37" s="953">
        <f>SUM(C37:D37)</f>
        <v>14150.600194102921</v>
      </c>
    </row>
    <row r="38" spans="1:5" s="5" customFormat="1" ht="15" customHeight="1">
      <c r="A38" s="770"/>
      <c r="B38" s="923" t="s">
        <v>244</v>
      </c>
      <c r="C38" s="671">
        <f>'20'!L28</f>
        <v>12228.832756745041</v>
      </c>
      <c r="D38" s="671">
        <v>2024.9595220125063</v>
      </c>
      <c r="E38" s="953">
        <f>SUM(C38:D38)</f>
        <v>14253.792278757548</v>
      </c>
    </row>
    <row r="39" spans="1:5" s="5" customFormat="1" ht="15" customHeight="1">
      <c r="A39" s="770"/>
      <c r="B39" s="923" t="s">
        <v>245</v>
      </c>
      <c r="C39" s="671">
        <f>'20'!L29</f>
        <v>12164.677245830258</v>
      </c>
      <c r="D39" s="671">
        <v>3833.8019229863394</v>
      </c>
      <c r="E39" s="953">
        <f>SUM(C39:D39)</f>
        <v>15998.479168816597</v>
      </c>
    </row>
    <row r="40" spans="1:5" s="5" customFormat="1" ht="15" customHeight="1">
      <c r="A40" s="770"/>
      <c r="B40" s="923" t="s">
        <v>242</v>
      </c>
      <c r="C40" s="671">
        <f>'20'!L30</f>
        <v>12321.880044577063</v>
      </c>
      <c r="D40" s="671">
        <v>5537.0047860000004</v>
      </c>
      <c r="E40" s="953">
        <f>SUM(C40:D40)</f>
        <v>17858.884830577063</v>
      </c>
    </row>
    <row r="41" spans="1:5" s="8" customFormat="1" ht="8.25" customHeight="1">
      <c r="A41" s="215"/>
      <c r="B41" s="215"/>
      <c r="C41" s="215"/>
      <c r="D41" s="215"/>
      <c r="E41" s="294"/>
    </row>
    <row r="42" spans="1:5" s="8" customFormat="1" ht="15" customHeight="1">
      <c r="D42" s="600"/>
      <c r="E42" s="600"/>
    </row>
    <row r="43" spans="1:5" s="381" customFormat="1" ht="14.25">
      <c r="A43" s="644" t="s">
        <v>916</v>
      </c>
      <c r="B43" s="382"/>
      <c r="C43" s="382"/>
      <c r="D43" s="382"/>
      <c r="E43" s="382"/>
    </row>
  </sheetData>
  <printOptions horizontalCentered="1"/>
  <pageMargins left="0" right="0" top="0" bottom="0" header="0.3" footer="0.3"/>
  <pageSetup scale="8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38" activePane="bottomLeft" state="frozen"/>
      <selection activeCell="B12" sqref="B12"/>
      <selection pane="bottomLeft" activeCell="O41" sqref="O41"/>
    </sheetView>
  </sheetViews>
  <sheetFormatPr defaultColWidth="9.140625" defaultRowHeight="12.75"/>
  <cols>
    <col min="1" max="2" width="9.7109375" style="381" customWidth="1"/>
    <col min="3" max="3" width="12.7109375" style="381" customWidth="1"/>
    <col min="4" max="4" width="10.28515625" style="381" customWidth="1"/>
    <col min="5" max="5" width="12.7109375" style="381" customWidth="1"/>
    <col min="6" max="6" width="11.7109375" style="381" customWidth="1"/>
    <col min="7" max="8" width="10.7109375" style="381" customWidth="1"/>
    <col min="9" max="9" width="10.28515625" style="381" customWidth="1"/>
    <col min="10" max="10" width="11.85546875" style="381" customWidth="1"/>
    <col min="11" max="11" width="12.7109375" style="381" customWidth="1"/>
    <col min="12" max="12" width="12.140625" style="381" customWidth="1"/>
    <col min="13" max="13" width="12.7109375" style="381" customWidth="1"/>
    <col min="14" max="14" width="11.7109375" style="381" customWidth="1"/>
    <col min="15" max="16" width="10.7109375" style="381" customWidth="1"/>
    <col min="17" max="17" width="10.28515625" style="381" customWidth="1"/>
    <col min="18" max="18" width="8.28515625" style="381" customWidth="1"/>
    <col min="19" max="16384" width="9.140625" style="381"/>
  </cols>
  <sheetData>
    <row r="1" spans="1:22" ht="18">
      <c r="A1" s="277" t="s">
        <v>1770</v>
      </c>
      <c r="B1" s="1740"/>
      <c r="C1" s="1740"/>
      <c r="D1" s="1740"/>
      <c r="E1" s="1740"/>
      <c r="F1" s="1740"/>
      <c r="G1" s="1740"/>
      <c r="H1" s="1740"/>
      <c r="I1" s="1740"/>
      <c r="J1" s="1740"/>
      <c r="K1" s="1740"/>
      <c r="L1" s="1740"/>
      <c r="M1" s="1740"/>
      <c r="N1" s="1740"/>
      <c r="O1" s="1740"/>
      <c r="P1" s="1740"/>
      <c r="Q1" s="1740"/>
    </row>
    <row r="2" spans="1:22" ht="18">
      <c r="A2" s="1744" t="s">
        <v>917</v>
      </c>
      <c r="B2" s="1740"/>
      <c r="C2" s="1740"/>
      <c r="D2" s="1740"/>
      <c r="E2" s="1740"/>
      <c r="F2" s="1740"/>
      <c r="G2" s="1740"/>
      <c r="H2" s="1740"/>
      <c r="I2" s="1740"/>
      <c r="J2" s="1740"/>
      <c r="K2" s="1740"/>
      <c r="L2" s="1740"/>
      <c r="M2" s="1740"/>
      <c r="N2" s="1740"/>
      <c r="O2" s="1740"/>
      <c r="P2" s="1740"/>
      <c r="Q2" s="1740"/>
    </row>
    <row r="3" spans="1:22" ht="18">
      <c r="A3" s="1741" t="s">
        <v>918</v>
      </c>
      <c r="B3" s="1740"/>
      <c r="C3" s="1740"/>
      <c r="D3" s="1740"/>
      <c r="E3" s="1740"/>
      <c r="F3" s="1740"/>
      <c r="G3" s="1740"/>
      <c r="H3" s="1740"/>
      <c r="I3" s="1740"/>
      <c r="J3" s="1740"/>
      <c r="K3" s="1740"/>
      <c r="L3" s="1740"/>
      <c r="M3" s="1740"/>
      <c r="N3" s="1740"/>
      <c r="O3" s="382"/>
      <c r="P3" s="1740"/>
      <c r="Q3" s="1740"/>
    </row>
    <row r="4" spans="1:22" s="321" customFormat="1" ht="14.25">
      <c r="A4" s="357" t="s">
        <v>373</v>
      </c>
      <c r="B4" s="358"/>
      <c r="C4" s="359"/>
      <c r="D4" s="359"/>
      <c r="E4" s="359"/>
      <c r="F4" s="359"/>
      <c r="G4" s="359"/>
      <c r="H4" s="359"/>
      <c r="I4" s="359"/>
      <c r="J4" s="359"/>
      <c r="K4" s="359"/>
      <c r="L4" s="359"/>
      <c r="Q4" s="360" t="s">
        <v>374</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772</v>
      </c>
      <c r="D9" s="182" t="s">
        <v>919</v>
      </c>
      <c r="E9" s="177" t="s">
        <v>920</v>
      </c>
      <c r="F9" s="166"/>
      <c r="G9" s="177"/>
      <c r="H9" s="166"/>
      <c r="I9" s="177"/>
      <c r="J9" s="193"/>
      <c r="K9" s="182" t="s">
        <v>772</v>
      </c>
      <c r="L9" s="182" t="s">
        <v>919</v>
      </c>
      <c r="M9" s="177" t="s">
        <v>920</v>
      </c>
      <c r="N9" s="166"/>
      <c r="O9" s="177"/>
      <c r="P9" s="166"/>
      <c r="Q9" s="177"/>
    </row>
    <row r="10" spans="1:22" s="176" customFormat="1" ht="18" customHeight="1">
      <c r="A10" s="163" t="s">
        <v>383</v>
      </c>
      <c r="B10" s="165"/>
      <c r="C10" s="182" t="s">
        <v>921</v>
      </c>
      <c r="D10" s="182" t="s">
        <v>922</v>
      </c>
      <c r="E10" s="177" t="s">
        <v>505</v>
      </c>
      <c r="F10" s="162" t="s">
        <v>923</v>
      </c>
      <c r="G10" s="177" t="s">
        <v>924</v>
      </c>
      <c r="H10" s="177" t="s">
        <v>925</v>
      </c>
      <c r="I10" s="177" t="s">
        <v>396</v>
      </c>
      <c r="J10" s="193" t="s">
        <v>386</v>
      </c>
      <c r="K10" s="182" t="s">
        <v>921</v>
      </c>
      <c r="L10" s="182" t="s">
        <v>922</v>
      </c>
      <c r="M10" s="177" t="s">
        <v>505</v>
      </c>
      <c r="N10" s="162" t="s">
        <v>923</v>
      </c>
      <c r="O10" s="177" t="s">
        <v>924</v>
      </c>
      <c r="P10" s="177" t="s">
        <v>925</v>
      </c>
      <c r="Q10" s="177" t="s">
        <v>396</v>
      </c>
    </row>
    <row r="11" spans="1:22" s="164" customFormat="1" ht="18" customHeight="1">
      <c r="A11" s="178" t="s">
        <v>391</v>
      </c>
      <c r="B11" s="165"/>
      <c r="C11" s="254" t="s">
        <v>926</v>
      </c>
      <c r="D11" s="256" t="s">
        <v>927</v>
      </c>
      <c r="E11" s="257" t="s">
        <v>928</v>
      </c>
      <c r="F11" s="258" t="s">
        <v>929</v>
      </c>
      <c r="G11" s="258" t="s">
        <v>930</v>
      </c>
      <c r="H11" s="258" t="s">
        <v>931</v>
      </c>
      <c r="I11" s="258" t="s">
        <v>404</v>
      </c>
      <c r="J11" s="259" t="s">
        <v>397</v>
      </c>
      <c r="K11" s="254" t="s">
        <v>926</v>
      </c>
      <c r="L11" s="256" t="s">
        <v>927</v>
      </c>
      <c r="M11" s="260" t="s">
        <v>928</v>
      </c>
      <c r="N11" s="258" t="s">
        <v>929</v>
      </c>
      <c r="O11" s="258" t="s">
        <v>930</v>
      </c>
      <c r="P11" s="258" t="s">
        <v>931</v>
      </c>
      <c r="Q11" s="258" t="s">
        <v>404</v>
      </c>
    </row>
    <row r="12" spans="1:22" s="164" customFormat="1" ht="18" customHeight="1">
      <c r="A12" s="179"/>
      <c r="B12" s="170"/>
      <c r="C12" s="255" t="s">
        <v>932</v>
      </c>
      <c r="D12" s="255"/>
      <c r="E12" s="261" t="s">
        <v>933</v>
      </c>
      <c r="F12" s="262" t="s">
        <v>786</v>
      </c>
      <c r="G12" s="262"/>
      <c r="H12" s="262"/>
      <c r="I12" s="262"/>
      <c r="J12" s="263"/>
      <c r="K12" s="255" t="s">
        <v>932</v>
      </c>
      <c r="L12" s="255"/>
      <c r="M12" s="262" t="s">
        <v>933</v>
      </c>
      <c r="N12" s="262" t="s">
        <v>786</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4"/>
      <c r="U13" s="1024"/>
    </row>
    <row r="14" spans="1:22" s="1024"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4"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4"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4"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4"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4"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4"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4" customFormat="1" ht="18" customHeight="1">
      <c r="A21" s="873">
        <v>2023</v>
      </c>
      <c r="B21" s="874"/>
      <c r="C21" s="385">
        <f t="shared" ref="C21:Q21" si="0">C26</f>
        <v>25652.258766562649</v>
      </c>
      <c r="D21" s="385">
        <f t="shared" si="0"/>
        <v>8125.7709036097194</v>
      </c>
      <c r="E21" s="386">
        <f t="shared" si="0"/>
        <v>1091.3883130970833</v>
      </c>
      <c r="F21" s="386">
        <f t="shared" si="0"/>
        <v>1650.5431934166618</v>
      </c>
      <c r="G21" s="386">
        <f t="shared" si="0"/>
        <v>2188.0266966628051</v>
      </c>
      <c r="H21" s="386">
        <f t="shared" si="0"/>
        <v>1356.512828237021</v>
      </c>
      <c r="I21" s="386">
        <f t="shared" si="0"/>
        <v>196.15629902865476</v>
      </c>
      <c r="J21" s="653">
        <f t="shared" si="0"/>
        <v>40260.657000614599</v>
      </c>
      <c r="K21" s="385">
        <f t="shared" si="0"/>
        <v>22550.85890509051</v>
      </c>
      <c r="L21" s="385">
        <f t="shared" si="0"/>
        <v>10487.089501013086</v>
      </c>
      <c r="M21" s="386">
        <f t="shared" si="0"/>
        <v>1489.2445047144624</v>
      </c>
      <c r="N21" s="386">
        <f t="shared" si="0"/>
        <v>696.28528937110616</v>
      </c>
      <c r="O21" s="386">
        <f t="shared" si="0"/>
        <v>3452.6198085469769</v>
      </c>
      <c r="P21" s="386">
        <f t="shared" si="0"/>
        <v>1315.0041675620496</v>
      </c>
      <c r="Q21" s="386">
        <f t="shared" si="0"/>
        <v>269.55482431639393</v>
      </c>
      <c r="R21" s="352"/>
      <c r="S21" s="352"/>
      <c r="V21" s="180"/>
    </row>
    <row r="22" spans="1:22" s="1024" customFormat="1" ht="18" customHeight="1">
      <c r="A22" s="1019">
        <v>2024</v>
      </c>
      <c r="B22" s="1020"/>
      <c r="C22" s="1021">
        <f t="shared" ref="C22:Q22" si="1">C30</f>
        <v>26862.980820399804</v>
      </c>
      <c r="D22" s="1021">
        <f t="shared" si="1"/>
        <v>7889.7692907676219</v>
      </c>
      <c r="E22" s="1325">
        <f t="shared" si="1"/>
        <v>959.99365903343232</v>
      </c>
      <c r="F22" s="1022">
        <f t="shared" si="1"/>
        <v>2149.9429626059436</v>
      </c>
      <c r="G22" s="1022">
        <f t="shared" si="1"/>
        <v>2449.3888114142046</v>
      </c>
      <c r="H22" s="1022">
        <f t="shared" si="1"/>
        <v>1209.6754082669895</v>
      </c>
      <c r="I22" s="1022">
        <f t="shared" si="1"/>
        <v>187.74536368666188</v>
      </c>
      <c r="J22" s="1023">
        <f t="shared" si="1"/>
        <v>41709.526316174655</v>
      </c>
      <c r="K22" s="1021">
        <f t="shared" si="1"/>
        <v>22639.292034651524</v>
      </c>
      <c r="L22" s="1021">
        <f t="shared" si="1"/>
        <v>10739.342830837297</v>
      </c>
      <c r="M22" s="1022">
        <f t="shared" si="1"/>
        <v>1447.4651039233938</v>
      </c>
      <c r="N22" s="1022">
        <f t="shared" si="1"/>
        <v>733.27705983139469</v>
      </c>
      <c r="O22" s="1022">
        <f t="shared" si="1"/>
        <v>4097.8406110383694</v>
      </c>
      <c r="P22" s="1022">
        <f t="shared" si="1"/>
        <v>1880.359378198156</v>
      </c>
      <c r="Q22" s="1022">
        <f t="shared" si="1"/>
        <v>171.94929769452574</v>
      </c>
      <c r="R22" s="352"/>
      <c r="S22" s="352"/>
      <c r="V22" s="180"/>
    </row>
    <row r="23" spans="1:22" s="1024" customFormat="1" ht="21" customHeight="1">
      <c r="A23" s="873">
        <v>2023</v>
      </c>
      <c r="B23" s="874" t="s">
        <v>243</v>
      </c>
      <c r="C23" s="385">
        <v>24695.475256412119</v>
      </c>
      <c r="D23" s="385">
        <v>7196.6385784225567</v>
      </c>
      <c r="E23" s="386">
        <v>952.14506434943814</v>
      </c>
      <c r="F23" s="386">
        <v>1403.1552691255645</v>
      </c>
      <c r="G23" s="386">
        <v>1886.1338611210817</v>
      </c>
      <c r="H23" s="386">
        <v>1159.9104072716395</v>
      </c>
      <c r="I23" s="386">
        <v>345.48424716854061</v>
      </c>
      <c r="J23" s="653">
        <v>37638.942683870933</v>
      </c>
      <c r="K23" s="385">
        <v>21669.310746853211</v>
      </c>
      <c r="L23" s="385">
        <v>9573.0509395442514</v>
      </c>
      <c r="M23" s="386">
        <v>1067.5068664360294</v>
      </c>
      <c r="N23" s="386">
        <v>607.01723119469716</v>
      </c>
      <c r="O23" s="386">
        <v>2552.04521340372</v>
      </c>
      <c r="P23" s="386">
        <v>1842.7365244514067</v>
      </c>
      <c r="Q23" s="386">
        <v>327.27516198762169</v>
      </c>
      <c r="R23" s="352"/>
      <c r="S23" s="352"/>
      <c r="V23" s="180"/>
    </row>
    <row r="24" spans="1:22" s="1024" customFormat="1" ht="15.75">
      <c r="A24" s="873"/>
      <c r="B24" s="874" t="s">
        <v>244</v>
      </c>
      <c r="C24" s="385">
        <v>24943.933909684529</v>
      </c>
      <c r="D24" s="385">
        <v>7054.3222784016734</v>
      </c>
      <c r="E24" s="386">
        <v>931.14393179939566</v>
      </c>
      <c r="F24" s="386">
        <v>1566.0987546209697</v>
      </c>
      <c r="G24" s="386">
        <v>2114.4238632598717</v>
      </c>
      <c r="H24" s="386">
        <v>1385.7558835736395</v>
      </c>
      <c r="I24" s="386">
        <v>243.86655579882063</v>
      </c>
      <c r="J24" s="653">
        <v>38239.545177138905</v>
      </c>
      <c r="K24" s="385">
        <v>22077.684348764058</v>
      </c>
      <c r="L24" s="385">
        <v>9945.531328615376</v>
      </c>
      <c r="M24" s="386">
        <v>1104.6571125743653</v>
      </c>
      <c r="N24" s="386">
        <v>690.61888750941773</v>
      </c>
      <c r="O24" s="386">
        <v>2524.1812943003192</v>
      </c>
      <c r="P24" s="386">
        <v>1565.1388696608769</v>
      </c>
      <c r="Q24" s="386">
        <v>331.73333571449621</v>
      </c>
      <c r="R24" s="352"/>
      <c r="S24" s="352"/>
      <c r="V24" s="180"/>
    </row>
    <row r="25" spans="1:22" s="1024" customFormat="1" ht="15.75">
      <c r="A25" s="873"/>
      <c r="B25" s="874" t="s">
        <v>245</v>
      </c>
      <c r="C25" s="385">
        <v>25365.840464803652</v>
      </c>
      <c r="D25" s="386">
        <v>7285.7150167217769</v>
      </c>
      <c r="E25" s="1743">
        <v>1031.0106465435631</v>
      </c>
      <c r="F25" s="386">
        <v>1795.4746595458737</v>
      </c>
      <c r="G25" s="386">
        <v>2217.0849404366122</v>
      </c>
      <c r="H25" s="386">
        <v>1355.774931966745</v>
      </c>
      <c r="I25" s="386">
        <v>202.25906752143783</v>
      </c>
      <c r="J25" s="653">
        <v>39253.159727539649</v>
      </c>
      <c r="K25" s="385">
        <v>22172.540946569905</v>
      </c>
      <c r="L25" s="385">
        <v>10324.385549402448</v>
      </c>
      <c r="M25" s="386">
        <v>1268.1521107330843</v>
      </c>
      <c r="N25" s="386">
        <v>666.26391775870081</v>
      </c>
      <c r="O25" s="386">
        <v>3152.5449497230447</v>
      </c>
      <c r="P25" s="386">
        <v>1385.7638285362041</v>
      </c>
      <c r="Q25" s="386">
        <v>283.50842481626023</v>
      </c>
      <c r="R25" s="352"/>
      <c r="S25" s="352"/>
      <c r="V25" s="180"/>
    </row>
    <row r="26" spans="1:22" s="1024" customFormat="1" ht="15.75">
      <c r="A26" s="873"/>
      <c r="B26" s="874" t="s">
        <v>242</v>
      </c>
      <c r="C26" s="385">
        <v>25652.258766562649</v>
      </c>
      <c r="D26" s="385">
        <v>8125.7709036097194</v>
      </c>
      <c r="E26" s="386">
        <v>1091.3883130970833</v>
      </c>
      <c r="F26" s="386">
        <v>1650.5431934166618</v>
      </c>
      <c r="G26" s="386">
        <v>2188.0266966628051</v>
      </c>
      <c r="H26" s="386">
        <v>1356.512828237021</v>
      </c>
      <c r="I26" s="386">
        <v>196.15629902865476</v>
      </c>
      <c r="J26" s="653">
        <v>40260.657000614599</v>
      </c>
      <c r="K26" s="385">
        <v>22550.85890509051</v>
      </c>
      <c r="L26" s="385">
        <v>10487.089501013086</v>
      </c>
      <c r="M26" s="386">
        <v>1489.2445047144624</v>
      </c>
      <c r="N26" s="386">
        <v>696.28528937110616</v>
      </c>
      <c r="O26" s="386">
        <v>3452.6198085469769</v>
      </c>
      <c r="P26" s="386">
        <v>1315.0041675620496</v>
      </c>
      <c r="Q26" s="386">
        <v>269.55482431639393</v>
      </c>
      <c r="R26" s="352"/>
      <c r="S26" s="352"/>
      <c r="V26" s="180"/>
    </row>
    <row r="27" spans="1:22" s="1024" customFormat="1" ht="21" customHeight="1">
      <c r="A27" s="873">
        <v>2024</v>
      </c>
      <c r="B27" s="874" t="s">
        <v>243</v>
      </c>
      <c r="C27" s="385">
        <f t="shared" ref="C27:Q27" si="2">C34</f>
        <v>26078.178048883994</v>
      </c>
      <c r="D27" s="385">
        <f t="shared" si="2"/>
        <v>8415.7756104765103</v>
      </c>
      <c r="E27" s="386">
        <f t="shared" si="2"/>
        <v>968.68305568317453</v>
      </c>
      <c r="F27" s="386">
        <f t="shared" si="2"/>
        <v>1581.6946892626615</v>
      </c>
      <c r="G27" s="386">
        <f t="shared" si="2"/>
        <v>2275.4983667727297</v>
      </c>
      <c r="H27" s="386">
        <f t="shared" si="2"/>
        <v>1204.9630627202255</v>
      </c>
      <c r="I27" s="386">
        <f t="shared" si="2"/>
        <v>177.74443381455464</v>
      </c>
      <c r="J27" s="653">
        <f t="shared" si="2"/>
        <v>40702.557267613847</v>
      </c>
      <c r="K27" s="385">
        <f t="shared" si="2"/>
        <v>22382.380957885285</v>
      </c>
      <c r="L27" s="385">
        <f t="shared" si="2"/>
        <v>10927.572563060068</v>
      </c>
      <c r="M27" s="386">
        <f t="shared" si="2"/>
        <v>1321.1821739430784</v>
      </c>
      <c r="N27" s="386">
        <f t="shared" si="2"/>
        <v>699.43503530316127</v>
      </c>
      <c r="O27" s="386">
        <f t="shared" si="2"/>
        <v>3606.4030362274611</v>
      </c>
      <c r="P27" s="386">
        <f t="shared" si="2"/>
        <v>1529.294476611557</v>
      </c>
      <c r="Q27" s="386">
        <f t="shared" si="2"/>
        <v>236.28902458323137</v>
      </c>
      <c r="R27" s="352"/>
      <c r="S27" s="352"/>
      <c r="V27" s="180"/>
    </row>
    <row r="28" spans="1:22" s="1024" customFormat="1" ht="15" customHeight="1">
      <c r="A28" s="873"/>
      <c r="B28" s="874" t="s">
        <v>244</v>
      </c>
      <c r="C28" s="385">
        <f t="shared" ref="C28:Q28" si="3">C37</f>
        <v>26542.893731499833</v>
      </c>
      <c r="D28" s="385">
        <f t="shared" si="3"/>
        <v>7928.508056821398</v>
      </c>
      <c r="E28" s="386">
        <f t="shared" si="3"/>
        <v>932.82988032316257</v>
      </c>
      <c r="F28" s="386">
        <f t="shared" si="3"/>
        <v>1779.6863685856908</v>
      </c>
      <c r="G28" s="386">
        <f t="shared" si="3"/>
        <v>2208.0938220834396</v>
      </c>
      <c r="H28" s="386">
        <f t="shared" si="3"/>
        <v>1353.4945279177275</v>
      </c>
      <c r="I28" s="386">
        <f t="shared" si="3"/>
        <v>452.38226433105592</v>
      </c>
      <c r="J28" s="653">
        <f t="shared" si="3"/>
        <v>41197.888651562294</v>
      </c>
      <c r="K28" s="385">
        <f t="shared" si="3"/>
        <v>22336.218574298582</v>
      </c>
      <c r="L28" s="385">
        <f t="shared" si="3"/>
        <v>11129.680560700095</v>
      </c>
      <c r="M28" s="386">
        <f t="shared" si="3"/>
        <v>1616.0339292825506</v>
      </c>
      <c r="N28" s="386">
        <f t="shared" si="3"/>
        <v>600.11962682531009</v>
      </c>
      <c r="O28" s="386">
        <f t="shared" si="3"/>
        <v>3640.9551695940045</v>
      </c>
      <c r="P28" s="386">
        <f t="shared" si="3"/>
        <v>1706.2601322136543</v>
      </c>
      <c r="Q28" s="386">
        <f t="shared" si="3"/>
        <v>168.62065864809847</v>
      </c>
      <c r="R28" s="352"/>
      <c r="S28" s="352"/>
      <c r="V28" s="180"/>
    </row>
    <row r="29" spans="1:22" s="1024" customFormat="1" ht="15" customHeight="1">
      <c r="A29" s="873"/>
      <c r="B29" s="874" t="s">
        <v>245</v>
      </c>
      <c r="C29" s="385">
        <f t="shared" ref="C29:Q29" si="4">C40</f>
        <v>27255.35550262767</v>
      </c>
      <c r="D29" s="385">
        <f t="shared" si="4"/>
        <v>7855.4486871492918</v>
      </c>
      <c r="E29" s="386">
        <f t="shared" si="4"/>
        <v>964.42664761902813</v>
      </c>
      <c r="F29" s="386">
        <f t="shared" si="4"/>
        <v>1795.1955922978473</v>
      </c>
      <c r="G29" s="386">
        <f t="shared" si="4"/>
        <v>2239.2163397800205</v>
      </c>
      <c r="H29" s="386">
        <f t="shared" si="4"/>
        <v>1169.218557439161</v>
      </c>
      <c r="I29" s="386">
        <f t="shared" si="4"/>
        <v>253.15399908290652</v>
      </c>
      <c r="J29" s="653">
        <f t="shared" si="4"/>
        <v>41531.955325995921</v>
      </c>
      <c r="K29" s="385">
        <f t="shared" si="4"/>
        <v>23166.142696337854</v>
      </c>
      <c r="L29" s="385">
        <f t="shared" si="4"/>
        <v>11227.524053974757</v>
      </c>
      <c r="M29" s="386">
        <f t="shared" si="4"/>
        <v>1411.8588349508586</v>
      </c>
      <c r="N29" s="386">
        <f t="shared" si="4"/>
        <v>577.92360664432545</v>
      </c>
      <c r="O29" s="386">
        <f t="shared" si="4"/>
        <v>3703.517363240629</v>
      </c>
      <c r="P29" s="386">
        <f t="shared" si="4"/>
        <v>1306.764419808545</v>
      </c>
      <c r="Q29" s="386">
        <f t="shared" si="4"/>
        <v>138.25435103895259</v>
      </c>
      <c r="R29" s="352"/>
      <c r="S29" s="352"/>
      <c r="V29" s="180"/>
    </row>
    <row r="30" spans="1:22" s="1024" customFormat="1" ht="15" customHeight="1">
      <c r="A30" s="1019"/>
      <c r="B30" s="1020" t="s">
        <v>242</v>
      </c>
      <c r="C30" s="1021">
        <f t="shared" ref="C30:Q30" si="5">C43</f>
        <v>26862.980820399804</v>
      </c>
      <c r="D30" s="1021">
        <f t="shared" si="5"/>
        <v>7889.7692907676219</v>
      </c>
      <c r="E30" s="1022">
        <f t="shared" si="5"/>
        <v>959.99365903343232</v>
      </c>
      <c r="F30" s="1022">
        <f t="shared" si="5"/>
        <v>2149.9429626059436</v>
      </c>
      <c r="G30" s="1022">
        <f t="shared" si="5"/>
        <v>2449.3888114142046</v>
      </c>
      <c r="H30" s="1022">
        <f t="shared" si="5"/>
        <v>1209.6754082669895</v>
      </c>
      <c r="I30" s="1022">
        <f t="shared" si="5"/>
        <v>187.74536368666188</v>
      </c>
      <c r="J30" s="1023">
        <f t="shared" si="5"/>
        <v>41709.526316174655</v>
      </c>
      <c r="K30" s="1021">
        <f t="shared" si="5"/>
        <v>22639.292034651524</v>
      </c>
      <c r="L30" s="1021">
        <f t="shared" si="5"/>
        <v>10739.342830837297</v>
      </c>
      <c r="M30" s="1022">
        <f t="shared" si="5"/>
        <v>1447.4651039233938</v>
      </c>
      <c r="N30" s="1022">
        <f t="shared" si="5"/>
        <v>733.27705983139469</v>
      </c>
      <c r="O30" s="1022">
        <f t="shared" si="5"/>
        <v>4097.8406110383694</v>
      </c>
      <c r="P30" s="1022">
        <f t="shared" si="5"/>
        <v>1880.359378198156</v>
      </c>
      <c r="Q30" s="1022">
        <f t="shared" si="5"/>
        <v>171.94929769452574</v>
      </c>
      <c r="R30" s="352"/>
      <c r="S30" s="352"/>
      <c r="V30" s="180"/>
    </row>
    <row r="31" spans="1:22" s="180" customFormat="1" ht="21" customHeight="1">
      <c r="A31" s="873">
        <v>2023</v>
      </c>
      <c r="B31" s="874" t="s">
        <v>426</v>
      </c>
      <c r="C31" s="385">
        <v>25652.258766562649</v>
      </c>
      <c r="D31" s="385">
        <v>8125.7709036097194</v>
      </c>
      <c r="E31" s="385">
        <v>1091.3883130970833</v>
      </c>
      <c r="F31" s="385">
        <v>1650.5431934166618</v>
      </c>
      <c r="G31" s="385">
        <v>2188.0266966628051</v>
      </c>
      <c r="H31" s="385">
        <v>1356.512828237021</v>
      </c>
      <c r="I31" s="386">
        <v>196.15629902865476</v>
      </c>
      <c r="J31" s="653">
        <v>40260.657000614599</v>
      </c>
      <c r="K31" s="385">
        <v>22550.85890509051</v>
      </c>
      <c r="L31" s="385">
        <v>10487.089501013086</v>
      </c>
      <c r="M31" s="385">
        <v>1489.2445047144624</v>
      </c>
      <c r="N31" s="385">
        <v>696.28528937110616</v>
      </c>
      <c r="O31" s="385">
        <v>3452.6198085469769</v>
      </c>
      <c r="P31" s="385">
        <v>1315.0041675620496</v>
      </c>
      <c r="Q31" s="386">
        <v>269.55482431639393</v>
      </c>
      <c r="R31" s="352"/>
      <c r="S31" s="352"/>
    </row>
    <row r="32" spans="1:22" s="180" customFormat="1" ht="21" customHeight="1">
      <c r="A32" s="873">
        <v>2024</v>
      </c>
      <c r="B32" s="874" t="s">
        <v>427</v>
      </c>
      <c r="C32" s="385">
        <v>25727.192481187594</v>
      </c>
      <c r="D32" s="385">
        <v>8318.681686864551</v>
      </c>
      <c r="E32" s="385">
        <v>1021.276245285645</v>
      </c>
      <c r="F32" s="385">
        <v>1864.3374880378187</v>
      </c>
      <c r="G32" s="385">
        <v>2276.0416235898501</v>
      </c>
      <c r="H32" s="385">
        <v>1314.8256363026519</v>
      </c>
      <c r="I32" s="386">
        <f>$J32-SUM(C32:H32)+0.02</f>
        <v>195.36334549287452</v>
      </c>
      <c r="J32" s="653">
        <v>40717.698506760993</v>
      </c>
      <c r="K32" s="385">
        <v>22315.705977627316</v>
      </c>
      <c r="L32" s="385">
        <v>10849.745580286502</v>
      </c>
      <c r="M32" s="385">
        <v>1477.3391855028981</v>
      </c>
      <c r="N32" s="385">
        <v>724.07253969522731</v>
      </c>
      <c r="O32" s="385">
        <v>3703.6947272925122</v>
      </c>
      <c r="P32" s="385">
        <v>1432.0744816505789</v>
      </c>
      <c r="Q32" s="386">
        <f t="shared" ref="Q32" si="6">$J32-SUM(K32:P32)</f>
        <v>215.06601470596797</v>
      </c>
      <c r="R32" s="352"/>
      <c r="S32" s="352"/>
    </row>
    <row r="33" spans="1:19" s="180" customFormat="1" ht="16.5" customHeight="1">
      <c r="A33" s="873"/>
      <c r="B33" s="874" t="s">
        <v>416</v>
      </c>
      <c r="C33" s="385">
        <v>25798.368901392772</v>
      </c>
      <c r="D33" s="385">
        <v>8262.981245558527</v>
      </c>
      <c r="E33" s="385">
        <v>1037.8779836723609</v>
      </c>
      <c r="F33" s="385">
        <v>1885.1883813629465</v>
      </c>
      <c r="G33" s="385">
        <v>2245.5023771226215</v>
      </c>
      <c r="H33" s="385">
        <v>1222.0424234397556</v>
      </c>
      <c r="I33" s="386">
        <f>$J33-SUM(C33:H33)-0.04</f>
        <v>190.44269938056183</v>
      </c>
      <c r="J33" s="653">
        <v>40642.444011929547</v>
      </c>
      <c r="K33" s="385">
        <v>22470.156398048544</v>
      </c>
      <c r="L33" s="385">
        <v>11070.528341696183</v>
      </c>
      <c r="M33" s="385">
        <v>1322.140577181314</v>
      </c>
      <c r="N33" s="385">
        <v>727.59536653990256</v>
      </c>
      <c r="O33" s="385">
        <v>3364.1064375335613</v>
      </c>
      <c r="P33" s="385">
        <v>1476.1829689584529</v>
      </c>
      <c r="Q33" s="386">
        <f t="shared" ref="Q33" si="7">$J33-SUM(K33:P33)</f>
        <v>211.73392197158682</v>
      </c>
      <c r="R33" s="352"/>
      <c r="S33" s="352"/>
    </row>
    <row r="34" spans="1:19" s="180" customFormat="1" ht="16.5" customHeight="1">
      <c r="A34" s="873"/>
      <c r="B34" s="874" t="s">
        <v>417</v>
      </c>
      <c r="C34" s="385">
        <v>26078.178048883994</v>
      </c>
      <c r="D34" s="385">
        <v>8415.7756104765103</v>
      </c>
      <c r="E34" s="385">
        <v>968.68305568317453</v>
      </c>
      <c r="F34" s="385">
        <v>1581.6946892626615</v>
      </c>
      <c r="G34" s="385">
        <v>2275.4983667727297</v>
      </c>
      <c r="H34" s="385">
        <v>1204.9630627202255</v>
      </c>
      <c r="I34" s="386">
        <f>$J34-SUM(C34:H34)-0.02</f>
        <v>177.74443381455464</v>
      </c>
      <c r="J34" s="653">
        <v>40702.557267613847</v>
      </c>
      <c r="K34" s="385">
        <v>22382.380957885285</v>
      </c>
      <c r="L34" s="385">
        <v>10927.572563060068</v>
      </c>
      <c r="M34" s="385">
        <v>1321.1821739430784</v>
      </c>
      <c r="N34" s="385">
        <v>699.43503530316127</v>
      </c>
      <c r="O34" s="385">
        <v>3606.4030362274611</v>
      </c>
      <c r="P34" s="385">
        <v>1529.294476611557</v>
      </c>
      <c r="Q34" s="386">
        <f t="shared" ref="Q34" si="8">$J34-SUM(K34:P34)</f>
        <v>236.28902458323137</v>
      </c>
      <c r="R34" s="352"/>
      <c r="S34" s="352"/>
    </row>
    <row r="35" spans="1:19" s="180" customFormat="1" ht="16.5" customHeight="1">
      <c r="A35" s="873"/>
      <c r="B35" s="874" t="s">
        <v>418</v>
      </c>
      <c r="C35" s="385">
        <v>26098.000491142517</v>
      </c>
      <c r="D35" s="385">
        <v>7900.0296865627352</v>
      </c>
      <c r="E35" s="385">
        <v>969.05950725193452</v>
      </c>
      <c r="F35" s="385">
        <v>1899.9850374047726</v>
      </c>
      <c r="G35" s="385">
        <v>2313.8826169217555</v>
      </c>
      <c r="H35" s="385">
        <v>1218.7719755026023</v>
      </c>
      <c r="I35" s="386">
        <f t="shared" ref="I35:I39" si="9">$J35-SUM(C35:H35)</f>
        <v>459.22229126346792</v>
      </c>
      <c r="J35" s="653">
        <v>40858.951606049792</v>
      </c>
      <c r="K35" s="385">
        <v>22211.982792687235</v>
      </c>
      <c r="L35" s="385">
        <v>10772.881733282156</v>
      </c>
      <c r="M35" s="385">
        <v>1461.686259859159</v>
      </c>
      <c r="N35" s="385">
        <v>724.5020098505737</v>
      </c>
      <c r="O35" s="385">
        <v>3693.86494348937</v>
      </c>
      <c r="P35" s="385">
        <v>1786.0793361210958</v>
      </c>
      <c r="Q35" s="386">
        <f>$J35-SUM(K35:P35)-0.01</f>
        <v>207.94453076020932</v>
      </c>
      <c r="R35" s="352"/>
      <c r="S35" s="352"/>
    </row>
    <row r="36" spans="1:19" s="180" customFormat="1" ht="16.5" customHeight="1">
      <c r="A36" s="873"/>
      <c r="B36" s="874" t="s">
        <v>419</v>
      </c>
      <c r="C36" s="385">
        <v>26185.158004534263</v>
      </c>
      <c r="D36" s="385">
        <v>7958.9154043288681</v>
      </c>
      <c r="E36" s="385">
        <v>941.18745457928128</v>
      </c>
      <c r="F36" s="385">
        <v>2025.4651514776158</v>
      </c>
      <c r="G36" s="385">
        <v>2448.147809475608</v>
      </c>
      <c r="H36" s="385">
        <v>1215.7779742543216</v>
      </c>
      <c r="I36" s="386">
        <f t="shared" si="9"/>
        <v>460.34926890299539</v>
      </c>
      <c r="J36" s="653">
        <v>41235.001067552948</v>
      </c>
      <c r="K36" s="385">
        <v>22239.958232709152</v>
      </c>
      <c r="L36" s="385">
        <v>11215.473261916171</v>
      </c>
      <c r="M36" s="385">
        <v>1570.8727086891613</v>
      </c>
      <c r="N36" s="385">
        <v>685.24858089931593</v>
      </c>
      <c r="O36" s="385">
        <v>3627.4118633476837</v>
      </c>
      <c r="P36" s="385">
        <v>1711.3351644408358</v>
      </c>
      <c r="Q36" s="386">
        <f>$J36-SUM(K36:P36)</f>
        <v>184.70125555063714</v>
      </c>
      <c r="R36" s="352"/>
      <c r="S36" s="352"/>
    </row>
    <row r="37" spans="1:19" s="180" customFormat="1" ht="16.5" customHeight="1">
      <c r="A37" s="873"/>
      <c r="B37" s="874" t="s">
        <v>420</v>
      </c>
      <c r="C37" s="385">
        <v>26542.893731499833</v>
      </c>
      <c r="D37" s="385">
        <v>7928.508056821398</v>
      </c>
      <c r="E37" s="385">
        <v>932.82988032316257</v>
      </c>
      <c r="F37" s="385">
        <v>1779.6863685856908</v>
      </c>
      <c r="G37" s="385">
        <v>2208.0938220834396</v>
      </c>
      <c r="H37" s="385">
        <v>1353.4945279177275</v>
      </c>
      <c r="I37" s="386">
        <f t="shared" si="9"/>
        <v>452.38226433105592</v>
      </c>
      <c r="J37" s="653">
        <v>41197.888651562294</v>
      </c>
      <c r="K37" s="385">
        <v>22336.218574298582</v>
      </c>
      <c r="L37" s="385">
        <v>11129.680560700095</v>
      </c>
      <c r="M37" s="385">
        <v>1616.0339292825506</v>
      </c>
      <c r="N37" s="385">
        <v>600.11962682531009</v>
      </c>
      <c r="O37" s="385">
        <v>3640.9551695940045</v>
      </c>
      <c r="P37" s="385">
        <v>1706.2601322136543</v>
      </c>
      <c r="Q37" s="386">
        <f>$J37-SUM(K37:P37)</f>
        <v>168.62065864809847</v>
      </c>
      <c r="R37" s="352"/>
      <c r="S37" s="352"/>
    </row>
    <row r="38" spans="1:19" s="180" customFormat="1" ht="16.5" customHeight="1">
      <c r="A38" s="873"/>
      <c r="B38" s="874" t="s">
        <v>421</v>
      </c>
      <c r="C38" s="385">
        <v>26431.781395070342</v>
      </c>
      <c r="D38" s="385">
        <v>8058.3460822631459</v>
      </c>
      <c r="E38" s="385">
        <v>948.40220389468391</v>
      </c>
      <c r="F38" s="385">
        <v>1688.1458017024822</v>
      </c>
      <c r="G38" s="385">
        <v>2326.3741661837139</v>
      </c>
      <c r="H38" s="385">
        <v>1160.9622639164481</v>
      </c>
      <c r="I38" s="386">
        <f t="shared" si="9"/>
        <v>452.92662295915216</v>
      </c>
      <c r="J38" s="653">
        <v>41066.938535989968</v>
      </c>
      <c r="K38" s="385">
        <v>22416.065680355194</v>
      </c>
      <c r="L38" s="385">
        <v>11170.680048571237</v>
      </c>
      <c r="M38" s="385">
        <v>1469.7494982773135</v>
      </c>
      <c r="N38" s="385">
        <v>630.49194982298638</v>
      </c>
      <c r="O38" s="385">
        <v>3653.044280963054</v>
      </c>
      <c r="P38" s="385">
        <v>1559.1721723147318</v>
      </c>
      <c r="Q38" s="386">
        <f>$J38-SUM(K38:P38)</f>
        <v>167.73490568545094</v>
      </c>
      <c r="R38" s="352"/>
      <c r="S38" s="352"/>
    </row>
    <row r="39" spans="1:19" s="180" customFormat="1" ht="16.5" customHeight="1">
      <c r="A39" s="873"/>
      <c r="B39" s="874" t="s">
        <v>422</v>
      </c>
      <c r="C39" s="385">
        <v>26709.622212987655</v>
      </c>
      <c r="D39" s="385">
        <v>8133.9849793265257</v>
      </c>
      <c r="E39" s="385">
        <v>909.80578291965912</v>
      </c>
      <c r="F39" s="385">
        <v>2022.6224562840653</v>
      </c>
      <c r="G39" s="385">
        <v>2300.6601323553887</v>
      </c>
      <c r="H39" s="385">
        <v>1106.9909694433479</v>
      </c>
      <c r="I39" s="386">
        <f t="shared" si="9"/>
        <v>426.71478165355802</v>
      </c>
      <c r="J39" s="653">
        <v>41610.4013149702</v>
      </c>
      <c r="K39" s="385">
        <v>22992.93721947584</v>
      </c>
      <c r="L39" s="385">
        <v>11437.815373803318</v>
      </c>
      <c r="M39" s="385">
        <v>1499.5838745247067</v>
      </c>
      <c r="N39" s="385">
        <v>554.25175471425462</v>
      </c>
      <c r="O39" s="385">
        <v>3396.2609725905263</v>
      </c>
      <c r="P39" s="385">
        <v>1570.9223991793917</v>
      </c>
      <c r="Q39" s="386">
        <f>$J39-SUM(K39:P39)</f>
        <v>158.62972068215458</v>
      </c>
      <c r="R39" s="352"/>
      <c r="S39" s="352"/>
    </row>
    <row r="40" spans="1:19" s="180" customFormat="1" ht="16.5" customHeight="1">
      <c r="A40" s="873"/>
      <c r="B40" s="874" t="s">
        <v>423</v>
      </c>
      <c r="C40" s="385">
        <v>27255.35550262767</v>
      </c>
      <c r="D40" s="385">
        <v>7855.4486871492918</v>
      </c>
      <c r="E40" s="385">
        <v>964.42664761902813</v>
      </c>
      <c r="F40" s="385">
        <v>1795.1955922978473</v>
      </c>
      <c r="G40" s="385">
        <v>2239.2163397800205</v>
      </c>
      <c r="H40" s="385">
        <v>1169.218557439161</v>
      </c>
      <c r="I40" s="386">
        <f>$J40-SUM(C40:H40)+0.06</f>
        <v>253.15399908290652</v>
      </c>
      <c r="J40" s="653">
        <v>41531.955325995921</v>
      </c>
      <c r="K40" s="385">
        <v>23166.142696337854</v>
      </c>
      <c r="L40" s="385">
        <v>11227.524053974757</v>
      </c>
      <c r="M40" s="385">
        <v>1411.8588349508586</v>
      </c>
      <c r="N40" s="385">
        <v>577.92360664432545</v>
      </c>
      <c r="O40" s="385">
        <v>3703.517363240629</v>
      </c>
      <c r="P40" s="385">
        <v>1306.764419808545</v>
      </c>
      <c r="Q40" s="386">
        <f>$J40-SUM(K40:P40)+0.03</f>
        <v>138.25435103895259</v>
      </c>
      <c r="R40" s="352"/>
      <c r="S40" s="352"/>
    </row>
    <row r="41" spans="1:19" s="180" customFormat="1" ht="16.5" customHeight="1">
      <c r="A41" s="873"/>
      <c r="B41" s="874" t="s">
        <v>424</v>
      </c>
      <c r="C41" s="385">
        <v>26993.772277013268</v>
      </c>
      <c r="D41" s="385">
        <v>7828.4732052914642</v>
      </c>
      <c r="E41" s="385">
        <v>932.14889611547642</v>
      </c>
      <c r="F41" s="385">
        <v>1595.0900303037458</v>
      </c>
      <c r="G41" s="385">
        <v>2302.9140889130704</v>
      </c>
      <c r="H41" s="385">
        <v>1102.887736172647</v>
      </c>
      <c r="I41" s="386">
        <f>$J41-SUM(C41:H41)</f>
        <v>287.41575214863406</v>
      </c>
      <c r="J41" s="653">
        <v>41042.701985958309</v>
      </c>
      <c r="K41" s="385">
        <v>22777.821444308691</v>
      </c>
      <c r="L41" s="385">
        <v>11218.573699316548</v>
      </c>
      <c r="M41" s="385">
        <v>1407.5747446201299</v>
      </c>
      <c r="N41" s="385">
        <v>419.38000030879641</v>
      </c>
      <c r="O41" s="385">
        <v>3617.225475179268</v>
      </c>
      <c r="P41" s="385">
        <v>1459.8847941875267</v>
      </c>
      <c r="Q41" s="386">
        <f>$J41-SUM(K41:P41)</f>
        <v>142.24182803735312</v>
      </c>
      <c r="R41" s="352"/>
      <c r="S41" s="352"/>
    </row>
    <row r="42" spans="1:19" s="180" customFormat="1" ht="16.5" customHeight="1">
      <c r="A42" s="873"/>
      <c r="B42" s="874" t="s">
        <v>425</v>
      </c>
      <c r="C42" s="385">
        <v>26948.8586610368</v>
      </c>
      <c r="D42" s="385">
        <v>8078.0105248180826</v>
      </c>
      <c r="E42" s="385">
        <v>899.57080743007998</v>
      </c>
      <c r="F42" s="385">
        <v>1762.1140125025711</v>
      </c>
      <c r="G42" s="385">
        <v>2411.5333750198365</v>
      </c>
      <c r="H42" s="385">
        <v>1231.4387615064202</v>
      </c>
      <c r="I42" s="386">
        <f>$J42-SUM(C42:H42)</f>
        <v>188.99156935838982</v>
      </c>
      <c r="J42" s="653">
        <v>41520.517711672175</v>
      </c>
      <c r="K42" s="385">
        <v>22805.043140490317</v>
      </c>
      <c r="L42" s="385">
        <v>11147.219594338949</v>
      </c>
      <c r="M42" s="385">
        <v>1385.672208562803</v>
      </c>
      <c r="N42" s="385">
        <v>690.99206821975611</v>
      </c>
      <c r="O42" s="385">
        <v>3722.6088672065102</v>
      </c>
      <c r="P42" s="385">
        <v>1633.8804898356852</v>
      </c>
      <c r="Q42" s="386">
        <f>$J42-SUM(K42:P42)</f>
        <v>135.1013430181556</v>
      </c>
      <c r="R42" s="352"/>
      <c r="S42" s="352"/>
    </row>
    <row r="43" spans="1:19" s="180" customFormat="1" ht="16.5" customHeight="1">
      <c r="A43" s="873"/>
      <c r="B43" s="874" t="s">
        <v>426</v>
      </c>
      <c r="C43" s="385">
        <v>26862.980820399804</v>
      </c>
      <c r="D43" s="385">
        <v>7889.7692907676219</v>
      </c>
      <c r="E43" s="385">
        <v>959.99365903343232</v>
      </c>
      <c r="F43" s="385">
        <v>2149.9429626059436</v>
      </c>
      <c r="G43" s="385">
        <v>2449.3888114142046</v>
      </c>
      <c r="H43" s="385">
        <v>1209.6754082669895</v>
      </c>
      <c r="I43" s="386">
        <f>$J43-SUM(C43:H43)-0.03</f>
        <v>187.74536368666188</v>
      </c>
      <c r="J43" s="653">
        <v>41709.526316174655</v>
      </c>
      <c r="K43" s="385">
        <v>22639.292034651524</v>
      </c>
      <c r="L43" s="385">
        <v>10739.342830837297</v>
      </c>
      <c r="M43" s="385">
        <v>1447.4651039233938</v>
      </c>
      <c r="N43" s="385">
        <v>733.27705983139469</v>
      </c>
      <c r="O43" s="385">
        <v>4097.8406110383694</v>
      </c>
      <c r="P43" s="385">
        <v>1880.359378198156</v>
      </c>
      <c r="Q43" s="386">
        <f>$J43-SUM(K43:P43)</f>
        <v>171.94929769452574</v>
      </c>
      <c r="R43" s="352"/>
      <c r="S43" s="352"/>
    </row>
    <row r="44" spans="1:19" ht="19.5" customHeight="1">
      <c r="A44" s="253" t="s">
        <v>934</v>
      </c>
      <c r="B44" s="380"/>
      <c r="C44" s="380"/>
      <c r="D44" s="380"/>
      <c r="E44" s="380"/>
      <c r="F44" s="380"/>
      <c r="G44" s="380"/>
      <c r="H44" s="380"/>
      <c r="I44" s="380"/>
      <c r="J44" s="380"/>
      <c r="K44" s="380"/>
      <c r="L44" s="380"/>
      <c r="M44" s="380"/>
      <c r="N44" s="380"/>
      <c r="O44" s="380"/>
      <c r="P44" s="380"/>
      <c r="Q44" s="252" t="s">
        <v>935</v>
      </c>
    </row>
    <row r="45" spans="1:19" ht="15.95" customHeight="1">
      <c r="A45" s="306" t="s">
        <v>936</v>
      </c>
      <c r="Q45" s="365" t="s">
        <v>937</v>
      </c>
    </row>
    <row r="46" spans="1:19" s="180" customFormat="1" ht="15">
      <c r="A46" s="306" t="s">
        <v>938</v>
      </c>
      <c r="B46" s="306"/>
      <c r="C46" s="306"/>
      <c r="D46" s="306"/>
      <c r="E46" s="306"/>
      <c r="F46" s="306"/>
      <c r="G46" s="306"/>
      <c r="H46" s="306"/>
      <c r="I46" s="306"/>
      <c r="J46" s="276"/>
      <c r="K46" s="276"/>
      <c r="L46" s="276"/>
      <c r="M46" s="276"/>
      <c r="N46" s="276"/>
      <c r="O46" s="276"/>
      <c r="P46" s="276"/>
      <c r="Q46" s="646" t="s">
        <v>939</v>
      </c>
    </row>
    <row r="47" spans="1:19" ht="15">
      <c r="A47" s="276" t="s">
        <v>940</v>
      </c>
      <c r="B47" s="382"/>
      <c r="C47" s="382"/>
      <c r="D47" s="382"/>
      <c r="E47" s="382"/>
      <c r="F47" s="382"/>
      <c r="G47" s="382"/>
      <c r="H47" s="382"/>
      <c r="I47" s="382"/>
      <c r="J47" s="382"/>
      <c r="K47" s="382"/>
      <c r="L47" s="382"/>
      <c r="M47" s="382"/>
      <c r="N47" s="382"/>
      <c r="O47" s="382"/>
      <c r="P47" s="382"/>
      <c r="Q47" s="382"/>
    </row>
    <row r="48" spans="1:19">
      <c r="C48" s="1115"/>
      <c r="D48" s="1115"/>
      <c r="E48" s="1115"/>
      <c r="F48" s="1115"/>
      <c r="G48" s="1115"/>
      <c r="H48" s="1115"/>
      <c r="I48" s="1115"/>
      <c r="J48" s="1115"/>
      <c r="K48" s="1115"/>
      <c r="L48" s="1115"/>
      <c r="M48" s="1115"/>
      <c r="N48" s="1115"/>
      <c r="O48" s="1115"/>
      <c r="P48" s="1115"/>
      <c r="Q48" s="1115"/>
    </row>
    <row r="49" spans="3:17">
      <c r="C49" s="1115"/>
      <c r="D49" s="1115"/>
      <c r="E49" s="1115"/>
      <c r="F49" s="1115"/>
      <c r="G49" s="1115"/>
      <c r="H49" s="1115"/>
      <c r="I49" s="1115"/>
      <c r="J49" s="1115"/>
      <c r="K49" s="1115"/>
      <c r="L49" s="1115"/>
      <c r="M49" s="1115"/>
      <c r="N49" s="1115"/>
      <c r="O49" s="1115"/>
      <c r="P49" s="1115"/>
      <c r="Q49" s="1115"/>
    </row>
  </sheetData>
  <phoneticPr fontId="32" type="noConversion"/>
  <printOptions horizontalCentered="1" verticalCentered="1"/>
  <pageMargins left="0" right="0" top="0" bottom="0" header="0.5" footer="0.5"/>
  <pageSetup paperSize="9" scale="6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1" activePane="bottomLeft" state="frozen"/>
      <selection activeCell="B12" sqref="B12"/>
      <selection pane="bottomLeft" activeCell="S42" sqref="S42"/>
    </sheetView>
  </sheetViews>
  <sheetFormatPr defaultColWidth="9.140625" defaultRowHeight="12.75"/>
  <cols>
    <col min="1" max="2" width="9.7109375" style="381" customWidth="1"/>
    <col min="3" max="3" width="11" style="381" customWidth="1"/>
    <col min="4" max="4" width="12.85546875" style="381" customWidth="1"/>
    <col min="5" max="5" width="12.7109375" style="381" customWidth="1"/>
    <col min="6" max="6" width="10.28515625" style="381" customWidth="1"/>
    <col min="7" max="7" width="11.85546875" style="381" customWidth="1"/>
    <col min="8" max="8" width="11.7109375" style="381" customWidth="1"/>
    <col min="9" max="9" width="10.28515625" style="381" customWidth="1"/>
    <col min="10" max="10" width="12.7109375" style="381" customWidth="1"/>
    <col min="11" max="11" width="12" style="381" customWidth="1"/>
    <col min="12" max="12" width="12.85546875" style="381" customWidth="1"/>
    <col min="13" max="13" width="11.7109375" style="381" customWidth="1"/>
    <col min="14" max="14" width="10.28515625" style="381" customWidth="1"/>
    <col min="15" max="16" width="11.7109375" style="381" customWidth="1"/>
    <col min="17" max="17" width="10.7109375" style="381" customWidth="1"/>
    <col min="18" max="16384" width="9.140625" style="381"/>
  </cols>
  <sheetData>
    <row r="1" spans="1:19" ht="18">
      <c r="A1" s="277" t="s">
        <v>1769</v>
      </c>
      <c r="B1" s="1740"/>
      <c r="C1" s="1740"/>
      <c r="D1" s="1740"/>
      <c r="E1" s="1740"/>
      <c r="F1" s="1740"/>
      <c r="G1" s="1740"/>
      <c r="H1" s="1740"/>
      <c r="I1" s="1740"/>
      <c r="J1" s="1740"/>
      <c r="K1" s="1740"/>
      <c r="L1" s="1740"/>
      <c r="M1" s="1740"/>
      <c r="N1" s="1740"/>
      <c r="O1" s="1740"/>
      <c r="P1" s="1740"/>
      <c r="Q1" s="1740"/>
    </row>
    <row r="2" spans="1:19" ht="18">
      <c r="A2" s="1690" t="s">
        <v>941</v>
      </c>
      <c r="B2" s="1740"/>
      <c r="C2" s="1740"/>
      <c r="D2" s="1740"/>
      <c r="E2" s="1740"/>
      <c r="F2" s="1740"/>
      <c r="G2" s="1740"/>
      <c r="H2" s="1740"/>
      <c r="I2" s="1740"/>
      <c r="J2" s="1740"/>
      <c r="K2" s="1740"/>
      <c r="L2" s="1740"/>
      <c r="M2" s="1740"/>
      <c r="N2" s="1740"/>
      <c r="O2" s="1740"/>
      <c r="P2" s="1740"/>
      <c r="Q2" s="1740"/>
    </row>
    <row r="3" spans="1:19" ht="18">
      <c r="A3" s="1741" t="s">
        <v>942</v>
      </c>
      <c r="B3" s="1740"/>
      <c r="C3" s="1740"/>
      <c r="D3" s="1740"/>
      <c r="E3" s="1740"/>
      <c r="F3" s="1740"/>
      <c r="G3" s="1740"/>
      <c r="H3" s="1740"/>
      <c r="I3" s="1740"/>
      <c r="J3" s="1740"/>
      <c r="K3" s="1740"/>
      <c r="L3" s="1740"/>
      <c r="M3" s="1740"/>
      <c r="N3" s="1740"/>
      <c r="O3" s="1740"/>
      <c r="P3" s="1740"/>
      <c r="Q3" s="1740"/>
    </row>
    <row r="4" spans="1:19" s="321" customFormat="1" ht="14.25">
      <c r="A4" s="357" t="s">
        <v>373</v>
      </c>
      <c r="B4" s="358"/>
      <c r="C4" s="359"/>
      <c r="D4" s="359"/>
      <c r="E4" s="359"/>
      <c r="F4" s="359"/>
      <c r="G4" s="359"/>
      <c r="H4" s="359"/>
      <c r="I4" s="359"/>
      <c r="J4" s="359"/>
      <c r="K4" s="359"/>
      <c r="L4" s="359"/>
      <c r="Q4" s="360" t="s">
        <v>374</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943</v>
      </c>
      <c r="D9" s="177" t="s">
        <v>944</v>
      </c>
      <c r="E9" s="177" t="s">
        <v>945</v>
      </c>
      <c r="F9" s="162" t="s">
        <v>946</v>
      </c>
      <c r="G9" s="162"/>
      <c r="H9" s="177" t="s">
        <v>947</v>
      </c>
      <c r="I9" s="177"/>
      <c r="J9" s="194"/>
      <c r="K9" s="182" t="s">
        <v>943</v>
      </c>
      <c r="L9" s="177" t="s">
        <v>944</v>
      </c>
      <c r="M9" s="177" t="s">
        <v>945</v>
      </c>
      <c r="N9" s="162" t="s">
        <v>946</v>
      </c>
      <c r="O9" s="162"/>
      <c r="P9" s="177" t="s">
        <v>947</v>
      </c>
      <c r="Q9" s="177"/>
    </row>
    <row r="10" spans="1:19" s="176" customFormat="1" ht="18" customHeight="1">
      <c r="A10" s="163" t="s">
        <v>383</v>
      </c>
      <c r="B10" s="165"/>
      <c r="C10" s="182" t="s">
        <v>948</v>
      </c>
      <c r="D10" s="177" t="s">
        <v>949</v>
      </c>
      <c r="E10" s="177" t="s">
        <v>950</v>
      </c>
      <c r="F10" s="162" t="s">
        <v>951</v>
      </c>
      <c r="G10" s="162" t="s">
        <v>354</v>
      </c>
      <c r="H10" s="177" t="s">
        <v>952</v>
      </c>
      <c r="I10" s="177" t="s">
        <v>396</v>
      </c>
      <c r="J10" s="193" t="s">
        <v>386</v>
      </c>
      <c r="K10" s="182" t="s">
        <v>948</v>
      </c>
      <c r="L10" s="177" t="s">
        <v>949</v>
      </c>
      <c r="M10" s="177" t="s">
        <v>950</v>
      </c>
      <c r="N10" s="162" t="s">
        <v>951</v>
      </c>
      <c r="O10" s="162" t="s">
        <v>354</v>
      </c>
      <c r="P10" s="177" t="s">
        <v>952</v>
      </c>
      <c r="Q10" s="177" t="s">
        <v>396</v>
      </c>
    </row>
    <row r="11" spans="1:19" s="164" customFormat="1" ht="18" customHeight="1">
      <c r="A11" s="178" t="s">
        <v>391</v>
      </c>
      <c r="B11" s="165"/>
      <c r="C11" s="191" t="s">
        <v>953</v>
      </c>
      <c r="D11" s="166" t="s">
        <v>954</v>
      </c>
      <c r="E11" s="166" t="s">
        <v>955</v>
      </c>
      <c r="F11" s="166" t="s">
        <v>956</v>
      </c>
      <c r="G11" s="166" t="s">
        <v>549</v>
      </c>
      <c r="H11" s="166" t="s">
        <v>957</v>
      </c>
      <c r="I11" s="168" t="s">
        <v>404</v>
      </c>
      <c r="J11" s="195" t="s">
        <v>397</v>
      </c>
      <c r="K11" s="191" t="s">
        <v>953</v>
      </c>
      <c r="L11" s="166" t="s">
        <v>954</v>
      </c>
      <c r="M11" s="166" t="s">
        <v>955</v>
      </c>
      <c r="N11" s="166" t="s">
        <v>956</v>
      </c>
      <c r="O11" s="166" t="s">
        <v>549</v>
      </c>
      <c r="P11" s="166" t="s">
        <v>957</v>
      </c>
      <c r="Q11" s="168" t="s">
        <v>404</v>
      </c>
    </row>
    <row r="12" spans="1:19" s="164" customFormat="1" ht="18" customHeight="1">
      <c r="A12" s="179"/>
      <c r="B12" s="170"/>
      <c r="C12" s="192" t="s">
        <v>958</v>
      </c>
      <c r="D12" s="198" t="s">
        <v>959</v>
      </c>
      <c r="E12" s="198" t="s">
        <v>960</v>
      </c>
      <c r="F12" s="198" t="s">
        <v>961</v>
      </c>
      <c r="G12" s="198"/>
      <c r="H12" s="198" t="s">
        <v>962</v>
      </c>
      <c r="I12" s="199"/>
      <c r="J12" s="196"/>
      <c r="K12" s="192" t="s">
        <v>958</v>
      </c>
      <c r="L12" s="198" t="s">
        <v>959</v>
      </c>
      <c r="M12" s="198" t="s">
        <v>960</v>
      </c>
      <c r="N12" s="198" t="s">
        <v>961</v>
      </c>
      <c r="O12" s="198"/>
      <c r="P12" s="198" t="s">
        <v>962</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4"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4"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4"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4"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4"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4" customFormat="1" ht="18" customHeight="1">
      <c r="A21" s="873">
        <v>2023</v>
      </c>
      <c r="B21" s="874"/>
      <c r="C21" s="385">
        <f t="shared" ref="C21:Q21" si="0">C26</f>
        <v>19337.15675525241</v>
      </c>
      <c r="D21" s="385">
        <f t="shared" si="0"/>
        <v>2347.6561269723657</v>
      </c>
      <c r="E21" s="385">
        <f t="shared" si="0"/>
        <v>17075.921001832998</v>
      </c>
      <c r="F21" s="385">
        <f t="shared" si="0"/>
        <v>440.12185662291955</v>
      </c>
      <c r="G21" s="385">
        <f t="shared" si="0"/>
        <v>760.43876505872129</v>
      </c>
      <c r="H21" s="385">
        <f t="shared" si="0"/>
        <v>45.074261329599494</v>
      </c>
      <c r="I21" s="385">
        <f t="shared" si="0"/>
        <v>254.31340911333706</v>
      </c>
      <c r="J21" s="653">
        <f t="shared" si="0"/>
        <v>40260.652176182353</v>
      </c>
      <c r="K21" s="663">
        <f t="shared" si="0"/>
        <v>19390.863245950488</v>
      </c>
      <c r="L21" s="385">
        <f t="shared" si="0"/>
        <v>2940.5696878663184</v>
      </c>
      <c r="M21" s="385">
        <f t="shared" si="0"/>
        <v>16151.578705033531</v>
      </c>
      <c r="N21" s="385">
        <f t="shared" si="0"/>
        <v>463.45607349649947</v>
      </c>
      <c r="O21" s="385">
        <f t="shared" si="0"/>
        <v>1097.0287476978474</v>
      </c>
      <c r="P21" s="385">
        <f t="shared" si="0"/>
        <v>68.488432743785836</v>
      </c>
      <c r="Q21" s="386">
        <f t="shared" si="0"/>
        <v>148.59976064464686</v>
      </c>
      <c r="R21" s="352"/>
      <c r="S21" s="352"/>
    </row>
    <row r="22" spans="1:21" s="1024" customFormat="1" ht="18" customHeight="1">
      <c r="A22" s="1019">
        <v>2024</v>
      </c>
      <c r="B22" s="1020"/>
      <c r="C22" s="1021">
        <f t="shared" ref="C22:Q22" si="1">C30</f>
        <v>19402.315594920288</v>
      </c>
      <c r="D22" s="1021">
        <f t="shared" si="1"/>
        <v>1701.8688531829457</v>
      </c>
      <c r="E22" s="1326">
        <f t="shared" si="1"/>
        <v>18827.597080303363</v>
      </c>
      <c r="F22" s="1021">
        <f t="shared" si="1"/>
        <v>485.53954273937404</v>
      </c>
      <c r="G22" s="1021">
        <f t="shared" si="1"/>
        <v>965.11162111833437</v>
      </c>
      <c r="H22" s="1021">
        <f t="shared" si="1"/>
        <v>34.684937384176251</v>
      </c>
      <c r="I22" s="1021">
        <f t="shared" si="1"/>
        <v>292.43754660404358</v>
      </c>
      <c r="J22" s="1023">
        <f t="shared" si="1"/>
        <v>41709.535176252524</v>
      </c>
      <c r="K22" s="1059">
        <f t="shared" si="1"/>
        <v>20064.013236298444</v>
      </c>
      <c r="L22" s="1021">
        <f t="shared" si="1"/>
        <v>2322.6338594975591</v>
      </c>
      <c r="M22" s="1021">
        <f t="shared" si="1"/>
        <v>17133.257296149313</v>
      </c>
      <c r="N22" s="1021">
        <f t="shared" si="1"/>
        <v>614.98349325481763</v>
      </c>
      <c r="O22" s="1021">
        <f t="shared" si="1"/>
        <v>1243.9076923169562</v>
      </c>
      <c r="P22" s="1021">
        <f t="shared" si="1"/>
        <v>16.859113488510296</v>
      </c>
      <c r="Q22" s="1022">
        <f t="shared" si="1"/>
        <v>313.82475300055404</v>
      </c>
      <c r="R22" s="352"/>
      <c r="S22" s="352"/>
    </row>
    <row r="23" spans="1:21" s="1024" customFormat="1" ht="21" customHeight="1">
      <c r="A23" s="873">
        <v>2023</v>
      </c>
      <c r="B23" s="874" t="s">
        <v>243</v>
      </c>
      <c r="C23" s="385">
        <v>19025.603492188897</v>
      </c>
      <c r="D23" s="385">
        <v>2283.1890830207076</v>
      </c>
      <c r="E23" s="385">
        <v>14925.305653215337</v>
      </c>
      <c r="F23" s="385">
        <v>423.08425423124226</v>
      </c>
      <c r="G23" s="385">
        <v>789.63609655512664</v>
      </c>
      <c r="H23" s="385">
        <v>10.587248747139702</v>
      </c>
      <c r="I23" s="385">
        <v>181.4667605423964</v>
      </c>
      <c r="J23" s="653">
        <v>37638.942588500846</v>
      </c>
      <c r="K23" s="663">
        <v>18441.098382756682</v>
      </c>
      <c r="L23" s="385">
        <v>2823.2474933472868</v>
      </c>
      <c r="M23" s="385">
        <v>14864.620584593409</v>
      </c>
      <c r="N23" s="385">
        <v>459.85352561192383</v>
      </c>
      <c r="O23" s="385">
        <v>837.65704063378666</v>
      </c>
      <c r="P23" s="385">
        <v>69.677643752497715</v>
      </c>
      <c r="Q23" s="386">
        <v>142.65868714291526</v>
      </c>
      <c r="R23" s="352"/>
      <c r="S23" s="352"/>
    </row>
    <row r="24" spans="1:21" s="1024" customFormat="1" ht="15.75">
      <c r="A24" s="873"/>
      <c r="B24" s="874" t="s">
        <v>244</v>
      </c>
      <c r="C24" s="385">
        <v>18973.256997547171</v>
      </c>
      <c r="D24" s="385">
        <v>2310.872284156485</v>
      </c>
      <c r="E24" s="385">
        <v>15504.565923383005</v>
      </c>
      <c r="F24" s="385">
        <v>421.7842216830249</v>
      </c>
      <c r="G24" s="385">
        <v>816.4756798590696</v>
      </c>
      <c r="H24" s="385">
        <v>11.339696346009097</v>
      </c>
      <c r="I24" s="385">
        <v>201.1401576776876</v>
      </c>
      <c r="J24" s="653">
        <v>38239.46496065244</v>
      </c>
      <c r="K24" s="663">
        <v>18877.507624655107</v>
      </c>
      <c r="L24" s="385">
        <v>2973.9925148442253</v>
      </c>
      <c r="M24" s="385">
        <v>14849.595882974305</v>
      </c>
      <c r="N24" s="385">
        <v>426.64268485893376</v>
      </c>
      <c r="O24" s="385">
        <v>897.76262997872379</v>
      </c>
      <c r="P24" s="385">
        <v>63.920699442276174</v>
      </c>
      <c r="Q24" s="386">
        <v>150.11246302375298</v>
      </c>
      <c r="R24" s="352"/>
      <c r="S24" s="352"/>
    </row>
    <row r="25" spans="1:21" s="1024" customFormat="1" ht="15.75">
      <c r="A25" s="873"/>
      <c r="B25" s="874" t="s">
        <v>245</v>
      </c>
      <c r="C25" s="385">
        <v>19262.307663031872</v>
      </c>
      <c r="D25" s="386">
        <v>2297.8326953502929</v>
      </c>
      <c r="E25" s="663">
        <v>16227.199459237523</v>
      </c>
      <c r="F25" s="385">
        <v>384.56062298410529</v>
      </c>
      <c r="G25" s="385">
        <v>830.26757212916345</v>
      </c>
      <c r="H25" s="385">
        <v>16.027287251912131</v>
      </c>
      <c r="I25" s="385">
        <v>235.04765706408847</v>
      </c>
      <c r="J25" s="653">
        <v>39253.242957048955</v>
      </c>
      <c r="K25" s="663">
        <v>19097.901119179274</v>
      </c>
      <c r="L25" s="385">
        <v>3020.2458249561878</v>
      </c>
      <c r="M25" s="385">
        <v>15543.042883768208</v>
      </c>
      <c r="N25" s="385">
        <v>382.14396237763282</v>
      </c>
      <c r="O25" s="385">
        <v>1027.7333123476433</v>
      </c>
      <c r="P25" s="385">
        <v>41.60255685065593</v>
      </c>
      <c r="Q25" s="386">
        <v>140.70502282518282</v>
      </c>
      <c r="R25" s="352"/>
      <c r="S25" s="352"/>
    </row>
    <row r="26" spans="1:21" s="1024" customFormat="1" ht="15.75">
      <c r="A26" s="873"/>
      <c r="B26" s="874" t="s">
        <v>242</v>
      </c>
      <c r="C26" s="385">
        <v>19337.15675525241</v>
      </c>
      <c r="D26" s="385">
        <v>2347.6561269723657</v>
      </c>
      <c r="E26" s="385">
        <v>17075.921001832998</v>
      </c>
      <c r="F26" s="385">
        <v>440.12185662291955</v>
      </c>
      <c r="G26" s="385">
        <v>760.43876505872129</v>
      </c>
      <c r="H26" s="385">
        <v>45.074261329599494</v>
      </c>
      <c r="I26" s="385">
        <v>254.31340911333706</v>
      </c>
      <c r="J26" s="653">
        <v>40260.652176182353</v>
      </c>
      <c r="K26" s="663">
        <v>19390.863245950488</v>
      </c>
      <c r="L26" s="385">
        <v>2940.5696878663184</v>
      </c>
      <c r="M26" s="385">
        <v>16151.578705033531</v>
      </c>
      <c r="N26" s="385">
        <v>463.45607349649947</v>
      </c>
      <c r="O26" s="385">
        <v>1097.0287476978474</v>
      </c>
      <c r="P26" s="385">
        <v>68.488432743785836</v>
      </c>
      <c r="Q26" s="386">
        <v>148.59976064464686</v>
      </c>
      <c r="R26" s="352"/>
      <c r="S26" s="352"/>
    </row>
    <row r="27" spans="1:21" s="1024" customFormat="1" ht="21" customHeight="1">
      <c r="A27" s="873">
        <v>2024</v>
      </c>
      <c r="B27" s="874" t="s">
        <v>243</v>
      </c>
      <c r="C27" s="385">
        <f t="shared" ref="C27:Q27" si="2">C34</f>
        <v>19361.695683580059</v>
      </c>
      <c r="D27" s="385">
        <f t="shared" si="2"/>
        <v>2097.6881999240295</v>
      </c>
      <c r="E27" s="385">
        <f t="shared" si="2"/>
        <v>17543.823031040331</v>
      </c>
      <c r="F27" s="385">
        <f t="shared" si="2"/>
        <v>458.26164347569278</v>
      </c>
      <c r="G27" s="385">
        <f t="shared" si="2"/>
        <v>1062.1611712714719</v>
      </c>
      <c r="H27" s="385">
        <f t="shared" si="2"/>
        <v>23.865114765852542</v>
      </c>
      <c r="I27" s="385">
        <f t="shared" si="2"/>
        <v>154.97164911802099</v>
      </c>
      <c r="J27" s="653">
        <f t="shared" si="2"/>
        <v>40702.556493175463</v>
      </c>
      <c r="K27" s="663">
        <f t="shared" si="2"/>
        <v>19425.533333859756</v>
      </c>
      <c r="L27" s="385">
        <f t="shared" si="2"/>
        <v>2771.1693057265284</v>
      </c>
      <c r="M27" s="385">
        <f t="shared" si="2"/>
        <v>16161.895421918942</v>
      </c>
      <c r="N27" s="385">
        <f t="shared" si="2"/>
        <v>417.81820724116511</v>
      </c>
      <c r="O27" s="385">
        <f t="shared" si="2"/>
        <v>1680.9923301919575</v>
      </c>
      <c r="P27" s="385">
        <f t="shared" si="2"/>
        <v>94.775093124392981</v>
      </c>
      <c r="Q27" s="386">
        <f t="shared" si="2"/>
        <v>150.37666866927009</v>
      </c>
      <c r="R27" s="352"/>
      <c r="S27" s="352"/>
    </row>
    <row r="28" spans="1:21" s="1024" customFormat="1" ht="15" customHeight="1">
      <c r="A28" s="873"/>
      <c r="B28" s="874" t="s">
        <v>244</v>
      </c>
      <c r="C28" s="385">
        <f t="shared" ref="C28:Q28" si="3">C37</f>
        <v>19563.916088429432</v>
      </c>
      <c r="D28" s="385">
        <f t="shared" si="3"/>
        <v>2100.3576049418189</v>
      </c>
      <c r="E28" s="385">
        <f t="shared" si="3"/>
        <v>17732.356663074581</v>
      </c>
      <c r="F28" s="385">
        <f t="shared" si="3"/>
        <v>424.40397219042279</v>
      </c>
      <c r="G28" s="385">
        <f t="shared" si="3"/>
        <v>1123.6518747248056</v>
      </c>
      <c r="H28" s="385">
        <f t="shared" si="3"/>
        <v>75.782592147761889</v>
      </c>
      <c r="I28" s="385">
        <f t="shared" si="3"/>
        <v>177.25744572829262</v>
      </c>
      <c r="J28" s="653">
        <f t="shared" si="3"/>
        <v>41197.876241237114</v>
      </c>
      <c r="K28" s="663">
        <f t="shared" si="3"/>
        <v>19680.013829505133</v>
      </c>
      <c r="L28" s="385">
        <f t="shared" si="3"/>
        <v>2605.9520159994618</v>
      </c>
      <c r="M28" s="385">
        <f t="shared" si="3"/>
        <v>17258.857405241335</v>
      </c>
      <c r="N28" s="385">
        <f t="shared" si="3"/>
        <v>453.88686165435479</v>
      </c>
      <c r="O28" s="385">
        <f t="shared" si="3"/>
        <v>994.1328069413687</v>
      </c>
      <c r="P28" s="385">
        <f t="shared" si="3"/>
        <v>46.905510052771191</v>
      </c>
      <c r="Q28" s="386">
        <f t="shared" si="3"/>
        <v>158.06517254171095</v>
      </c>
      <c r="R28" s="352"/>
      <c r="S28" s="352"/>
    </row>
    <row r="29" spans="1:21" s="1024" customFormat="1" ht="15" customHeight="1">
      <c r="A29" s="873"/>
      <c r="B29" s="874" t="s">
        <v>245</v>
      </c>
      <c r="C29" s="385">
        <f t="shared" ref="C29:Q29" si="4">C40</f>
        <v>19892.258661065989</v>
      </c>
      <c r="D29" s="385">
        <f t="shared" si="4"/>
        <v>1974.0281266856864</v>
      </c>
      <c r="E29" s="385">
        <f t="shared" si="4"/>
        <v>18015.776503887781</v>
      </c>
      <c r="F29" s="385">
        <f t="shared" si="4"/>
        <v>417.2567488534973</v>
      </c>
      <c r="G29" s="385">
        <f t="shared" si="4"/>
        <v>1070.0085722507285</v>
      </c>
      <c r="H29" s="385">
        <f t="shared" si="4"/>
        <v>40.129756868990427</v>
      </c>
      <c r="I29" s="385">
        <f t="shared" si="4"/>
        <v>122.53209353661849</v>
      </c>
      <c r="J29" s="653">
        <f t="shared" si="4"/>
        <v>41531.960463149298</v>
      </c>
      <c r="K29" s="663">
        <f t="shared" si="4"/>
        <v>20222.15690215526</v>
      </c>
      <c r="L29" s="385">
        <f t="shared" si="4"/>
        <v>2663.4771588292638</v>
      </c>
      <c r="M29" s="385">
        <f t="shared" si="4"/>
        <v>16495.985760307238</v>
      </c>
      <c r="N29" s="385">
        <f t="shared" si="4"/>
        <v>690.52777331837865</v>
      </c>
      <c r="O29" s="385">
        <f t="shared" si="4"/>
        <v>1287.0126609905922</v>
      </c>
      <c r="P29" s="385">
        <f t="shared" si="4"/>
        <v>40.210108127386533</v>
      </c>
      <c r="Q29" s="386">
        <f t="shared" si="4"/>
        <v>132.60901975121041</v>
      </c>
      <c r="R29" s="352"/>
      <c r="S29" s="352"/>
    </row>
    <row r="30" spans="1:21" s="1024" customFormat="1" ht="15" customHeight="1">
      <c r="A30" s="1019"/>
      <c r="B30" s="1020" t="s">
        <v>242</v>
      </c>
      <c r="C30" s="1021">
        <f t="shared" ref="C30:Q30" si="5">C43</f>
        <v>19402.315594920288</v>
      </c>
      <c r="D30" s="1021">
        <f t="shared" si="5"/>
        <v>1701.8688531829457</v>
      </c>
      <c r="E30" s="1021">
        <f t="shared" si="5"/>
        <v>18827.597080303363</v>
      </c>
      <c r="F30" s="1021">
        <f t="shared" si="5"/>
        <v>485.53954273937404</v>
      </c>
      <c r="G30" s="1021">
        <f t="shared" si="5"/>
        <v>965.11162111833437</v>
      </c>
      <c r="H30" s="1021">
        <f t="shared" si="5"/>
        <v>34.684937384176251</v>
      </c>
      <c r="I30" s="1021">
        <f t="shared" si="5"/>
        <v>292.43754660404358</v>
      </c>
      <c r="J30" s="1023">
        <f t="shared" si="5"/>
        <v>41709.535176252524</v>
      </c>
      <c r="K30" s="1059">
        <f t="shared" si="5"/>
        <v>20064.013236298444</v>
      </c>
      <c r="L30" s="1021">
        <f t="shared" si="5"/>
        <v>2322.6338594975591</v>
      </c>
      <c r="M30" s="1021">
        <f t="shared" si="5"/>
        <v>17133.257296149313</v>
      </c>
      <c r="N30" s="1021">
        <f t="shared" si="5"/>
        <v>614.98349325481763</v>
      </c>
      <c r="O30" s="1021">
        <f t="shared" si="5"/>
        <v>1243.9076923169562</v>
      </c>
      <c r="P30" s="1021">
        <f t="shared" si="5"/>
        <v>16.859113488510296</v>
      </c>
      <c r="Q30" s="1022">
        <f t="shared" si="5"/>
        <v>313.82475300055404</v>
      </c>
      <c r="R30" s="352"/>
      <c r="S30" s="352"/>
    </row>
    <row r="31" spans="1:21" s="616" customFormat="1" ht="21" customHeight="1">
      <c r="A31" s="873">
        <v>2023</v>
      </c>
      <c r="B31" s="874" t="s">
        <v>426</v>
      </c>
      <c r="C31" s="385">
        <v>19337.15675525241</v>
      </c>
      <c r="D31" s="385">
        <v>2347.6561269723657</v>
      </c>
      <c r="E31" s="386">
        <v>17075.921001832998</v>
      </c>
      <c r="F31" s="386">
        <v>440.12185662291955</v>
      </c>
      <c r="G31" s="386">
        <v>760.43876505872129</v>
      </c>
      <c r="H31" s="386">
        <v>45.074261329599494</v>
      </c>
      <c r="I31" s="385">
        <v>254.31340911333706</v>
      </c>
      <c r="J31" s="653">
        <v>40260.652176182353</v>
      </c>
      <c r="K31" s="663">
        <v>19390.863245950488</v>
      </c>
      <c r="L31" s="385">
        <v>2940.5696878663184</v>
      </c>
      <c r="M31" s="386">
        <v>16151.578705033531</v>
      </c>
      <c r="N31" s="386">
        <v>463.45607349649947</v>
      </c>
      <c r="O31" s="386">
        <v>1097.0287476978474</v>
      </c>
      <c r="P31" s="386">
        <v>68.488432743785836</v>
      </c>
      <c r="Q31" s="386">
        <v>148.59976064464686</v>
      </c>
      <c r="R31" s="352"/>
      <c r="S31" s="352"/>
      <c r="T31" s="180"/>
      <c r="U31" s="180"/>
    </row>
    <row r="32" spans="1:21" s="616" customFormat="1" ht="21" customHeight="1">
      <c r="A32" s="873">
        <v>2024</v>
      </c>
      <c r="B32" s="874" t="s">
        <v>427</v>
      </c>
      <c r="C32" s="385">
        <v>19324.343875611037</v>
      </c>
      <c r="D32" s="385">
        <v>2155.7667424518008</v>
      </c>
      <c r="E32" s="386">
        <v>17742.10514139352</v>
      </c>
      <c r="F32" s="386">
        <v>433.04139795449095</v>
      </c>
      <c r="G32" s="386">
        <v>887.28700020415818</v>
      </c>
      <c r="H32" s="386">
        <v>23.051207956605591</v>
      </c>
      <c r="I32" s="385">
        <v>152.13368438061912</v>
      </c>
      <c r="J32" s="653">
        <v>40717.73904995223</v>
      </c>
      <c r="K32" s="663">
        <v>19389.236601372817</v>
      </c>
      <c r="L32" s="385">
        <v>2968.5588284476185</v>
      </c>
      <c r="M32" s="386">
        <v>16267.521166373033</v>
      </c>
      <c r="N32" s="386">
        <v>481.15839919328471</v>
      </c>
      <c r="O32" s="386">
        <v>1407.110683921308</v>
      </c>
      <c r="P32" s="386">
        <v>49.772655244218285</v>
      </c>
      <c r="Q32" s="386">
        <v>154.27699163850264</v>
      </c>
      <c r="R32" s="352"/>
      <c r="S32" s="352"/>
      <c r="T32" s="180"/>
      <c r="U32" s="180"/>
    </row>
    <row r="33" spans="1:21" s="616" customFormat="1" ht="16.5" customHeight="1">
      <c r="A33" s="873"/>
      <c r="B33" s="874" t="s">
        <v>416</v>
      </c>
      <c r="C33" s="385">
        <v>19320.101132272972</v>
      </c>
      <c r="D33" s="385">
        <v>2189.0577994467944</v>
      </c>
      <c r="E33" s="386">
        <v>17575.735693047511</v>
      </c>
      <c r="F33" s="386">
        <v>410.44108082825466</v>
      </c>
      <c r="G33" s="386">
        <v>948.28339517185702</v>
      </c>
      <c r="H33" s="386">
        <v>28.724214560878238</v>
      </c>
      <c r="I33" s="385">
        <v>170.12729723050236</v>
      </c>
      <c r="J33" s="653">
        <v>40642.400612558769</v>
      </c>
      <c r="K33" s="663">
        <v>19440.944096269381</v>
      </c>
      <c r="L33" s="385">
        <v>2817.5626963153491</v>
      </c>
      <c r="M33" s="386">
        <v>16253.572833869708</v>
      </c>
      <c r="N33" s="386">
        <v>456.31915854884096</v>
      </c>
      <c r="O33" s="386">
        <v>1447.8824133769517</v>
      </c>
      <c r="P33" s="386">
        <v>54.714007062748315</v>
      </c>
      <c r="Q33" s="386">
        <v>171.40249976146461</v>
      </c>
      <c r="R33" s="352"/>
      <c r="S33" s="352"/>
      <c r="T33" s="180"/>
      <c r="U33" s="180"/>
    </row>
    <row r="34" spans="1:21" s="616" customFormat="1" ht="16.5" customHeight="1">
      <c r="A34" s="873"/>
      <c r="B34" s="874" t="s">
        <v>417</v>
      </c>
      <c r="C34" s="385">
        <v>19361.695683580059</v>
      </c>
      <c r="D34" s="385">
        <v>2097.6881999240295</v>
      </c>
      <c r="E34" s="386">
        <v>17543.823031040331</v>
      </c>
      <c r="F34" s="386">
        <v>458.26164347569278</v>
      </c>
      <c r="G34" s="386">
        <v>1062.1611712714719</v>
      </c>
      <c r="H34" s="386">
        <v>23.865114765852542</v>
      </c>
      <c r="I34" s="385">
        <v>154.97164911802099</v>
      </c>
      <c r="J34" s="653">
        <v>40702.556493175463</v>
      </c>
      <c r="K34" s="663">
        <v>19425.533333859756</v>
      </c>
      <c r="L34" s="385">
        <v>2771.1693057265284</v>
      </c>
      <c r="M34" s="386">
        <v>16161.895421918942</v>
      </c>
      <c r="N34" s="386">
        <v>417.81820724116511</v>
      </c>
      <c r="O34" s="386">
        <v>1680.9923301919575</v>
      </c>
      <c r="P34" s="386">
        <v>94.775093124392981</v>
      </c>
      <c r="Q34" s="386">
        <v>150.37666866927009</v>
      </c>
      <c r="R34" s="352"/>
      <c r="S34" s="352"/>
      <c r="T34" s="180"/>
      <c r="U34" s="180"/>
    </row>
    <row r="35" spans="1:21" s="616" customFormat="1" ht="16.5" customHeight="1">
      <c r="A35" s="873"/>
      <c r="B35" s="874" t="s">
        <v>418</v>
      </c>
      <c r="C35" s="385">
        <v>19331.326629904295</v>
      </c>
      <c r="D35" s="385">
        <v>2084.8978111412998</v>
      </c>
      <c r="E35" s="386">
        <v>17781.559762987843</v>
      </c>
      <c r="F35" s="386">
        <v>430.16307070658706</v>
      </c>
      <c r="G35" s="386">
        <v>1073.9592102522051</v>
      </c>
      <c r="H35" s="386">
        <v>27.902911654157528</v>
      </c>
      <c r="I35" s="385">
        <v>129.06416102392086</v>
      </c>
      <c r="J35" s="653">
        <v>40858.983557670312</v>
      </c>
      <c r="K35" s="663">
        <v>19570.644312636781</v>
      </c>
      <c r="L35" s="385">
        <v>2755.2573413011532</v>
      </c>
      <c r="M35" s="386">
        <v>16468.946907041616</v>
      </c>
      <c r="N35" s="386">
        <v>459.03194308266421</v>
      </c>
      <c r="O35" s="386">
        <v>1370.13364233124</v>
      </c>
      <c r="P35" s="386">
        <v>95.359003199959105</v>
      </c>
      <c r="Q35" s="386">
        <v>139.68760523570637</v>
      </c>
      <c r="R35" s="352"/>
      <c r="S35" s="352"/>
      <c r="T35" s="180"/>
      <c r="U35" s="180"/>
    </row>
    <row r="36" spans="1:21" s="616" customFormat="1" ht="16.5" customHeight="1">
      <c r="A36" s="873"/>
      <c r="B36" s="874" t="s">
        <v>419</v>
      </c>
      <c r="C36" s="385">
        <v>19366.933232962467</v>
      </c>
      <c r="D36" s="385">
        <v>2118.1041701061363</v>
      </c>
      <c r="E36" s="386">
        <v>18021.333115715744</v>
      </c>
      <c r="F36" s="386">
        <v>413.39898296432057</v>
      </c>
      <c r="G36" s="386">
        <v>1134.0605901021131</v>
      </c>
      <c r="H36" s="386">
        <v>60.997050466553482</v>
      </c>
      <c r="I36" s="385">
        <v>120.18082637183366</v>
      </c>
      <c r="J36" s="653">
        <v>41235.037968689168</v>
      </c>
      <c r="K36" s="663">
        <v>19522.56088340584</v>
      </c>
      <c r="L36" s="385">
        <v>2658.9065415388795</v>
      </c>
      <c r="M36" s="386">
        <v>17011.355312412481</v>
      </c>
      <c r="N36" s="386">
        <v>535.28105563991414</v>
      </c>
      <c r="O36" s="386">
        <v>1267.8548370058375</v>
      </c>
      <c r="P36" s="386">
        <v>104.09993574165105</v>
      </c>
      <c r="Q36" s="386">
        <v>134.82604888115975</v>
      </c>
      <c r="R36" s="352"/>
      <c r="S36" s="352"/>
      <c r="T36" s="180"/>
      <c r="U36" s="180"/>
    </row>
    <row r="37" spans="1:21" s="616" customFormat="1" ht="16.5" customHeight="1">
      <c r="A37" s="873"/>
      <c r="B37" s="874" t="s">
        <v>420</v>
      </c>
      <c r="C37" s="385">
        <v>19563.916088429432</v>
      </c>
      <c r="D37" s="385">
        <v>2100.3576049418189</v>
      </c>
      <c r="E37" s="386">
        <v>17732.356663074581</v>
      </c>
      <c r="F37" s="386">
        <v>424.40397219042279</v>
      </c>
      <c r="G37" s="386">
        <v>1123.6518747248056</v>
      </c>
      <c r="H37" s="386">
        <v>75.782592147761889</v>
      </c>
      <c r="I37" s="385">
        <v>177.25744572829262</v>
      </c>
      <c r="J37" s="653">
        <v>41197.876241237114</v>
      </c>
      <c r="K37" s="663">
        <v>19680.013829505133</v>
      </c>
      <c r="L37" s="385">
        <v>2605.9520159994618</v>
      </c>
      <c r="M37" s="386">
        <v>17258.857405241335</v>
      </c>
      <c r="N37" s="386">
        <v>453.88686165435479</v>
      </c>
      <c r="O37" s="386">
        <v>994.1328069413687</v>
      </c>
      <c r="P37" s="386">
        <v>46.905510052771191</v>
      </c>
      <c r="Q37" s="386">
        <v>158.06517254171095</v>
      </c>
      <c r="R37" s="352"/>
      <c r="S37" s="352"/>
      <c r="T37" s="180"/>
      <c r="U37" s="180"/>
    </row>
    <row r="38" spans="1:21" s="616" customFormat="1" ht="16.5" customHeight="1">
      <c r="A38" s="873"/>
      <c r="B38" s="874" t="s">
        <v>421</v>
      </c>
      <c r="C38" s="385">
        <v>19277.540301352456</v>
      </c>
      <c r="D38" s="385">
        <v>2038.4537973055346</v>
      </c>
      <c r="E38" s="386">
        <v>17781.37148480257</v>
      </c>
      <c r="F38" s="386">
        <v>452.79004893515042</v>
      </c>
      <c r="G38" s="386">
        <v>1345.1574336841243</v>
      </c>
      <c r="H38" s="386">
        <v>30.539771690188271</v>
      </c>
      <c r="I38" s="385">
        <v>140.99321394599485</v>
      </c>
      <c r="J38" s="653">
        <v>41066.936051716017</v>
      </c>
      <c r="K38" s="663">
        <v>19520.538373884498</v>
      </c>
      <c r="L38" s="385">
        <v>2541.5047823811055</v>
      </c>
      <c r="M38" s="386">
        <v>16904.369940339111</v>
      </c>
      <c r="N38" s="386">
        <v>612.16291772861405</v>
      </c>
      <c r="O38" s="386">
        <v>1281.8949053043696</v>
      </c>
      <c r="P38" s="386">
        <v>47.053050617377281</v>
      </c>
      <c r="Q38" s="386">
        <v>159.2645980243253</v>
      </c>
      <c r="R38" s="352"/>
      <c r="S38" s="352"/>
      <c r="T38" s="180"/>
      <c r="U38" s="180"/>
    </row>
    <row r="39" spans="1:21" s="616" customFormat="1" ht="16.5" customHeight="1">
      <c r="A39" s="873"/>
      <c r="B39" s="874" t="s">
        <v>422</v>
      </c>
      <c r="C39" s="385">
        <v>19632.937878443659</v>
      </c>
      <c r="D39" s="385">
        <v>2082.4720168048107</v>
      </c>
      <c r="E39" s="386">
        <v>17928.568062279832</v>
      </c>
      <c r="F39" s="386">
        <v>476.08931807224741</v>
      </c>
      <c r="G39" s="386">
        <v>1321.8354961789694</v>
      </c>
      <c r="H39" s="386">
        <v>21.006875744965015</v>
      </c>
      <c r="I39" s="385">
        <v>147.48632295150219</v>
      </c>
      <c r="J39" s="653">
        <v>41610.415970475988</v>
      </c>
      <c r="K39" s="663">
        <v>19722.435994134266</v>
      </c>
      <c r="L39" s="385">
        <v>2613.9458737312316</v>
      </c>
      <c r="M39" s="386">
        <v>17047.182154033486</v>
      </c>
      <c r="N39" s="386">
        <v>689.70027436628015</v>
      </c>
      <c r="O39" s="386">
        <v>1341.050930376854</v>
      </c>
      <c r="P39" s="386">
        <v>38.399762341109415</v>
      </c>
      <c r="Q39" s="386">
        <v>157.71882343544956</v>
      </c>
      <c r="R39" s="352"/>
      <c r="S39" s="352"/>
      <c r="T39" s="180"/>
      <c r="U39" s="180"/>
    </row>
    <row r="40" spans="1:21" s="616" customFormat="1" ht="16.5" customHeight="1">
      <c r="A40" s="873"/>
      <c r="B40" s="874" t="s">
        <v>423</v>
      </c>
      <c r="C40" s="385">
        <v>19892.258661065989</v>
      </c>
      <c r="D40" s="385">
        <v>1974.0281266856864</v>
      </c>
      <c r="E40" s="386">
        <v>18015.776503887781</v>
      </c>
      <c r="F40" s="386">
        <v>417.2567488534973</v>
      </c>
      <c r="G40" s="386">
        <v>1070.0085722507285</v>
      </c>
      <c r="H40" s="386">
        <v>40.129756868990427</v>
      </c>
      <c r="I40" s="385">
        <v>122.53209353661849</v>
      </c>
      <c r="J40" s="653">
        <v>41531.960463149298</v>
      </c>
      <c r="K40" s="663">
        <v>20222.15690215526</v>
      </c>
      <c r="L40" s="385">
        <v>2663.4771588292638</v>
      </c>
      <c r="M40" s="386">
        <v>16495.985760307238</v>
      </c>
      <c r="N40" s="386">
        <v>690.52777331837865</v>
      </c>
      <c r="O40" s="386">
        <v>1287.0126609905922</v>
      </c>
      <c r="P40" s="386">
        <v>40.210108127386533</v>
      </c>
      <c r="Q40" s="386">
        <v>132.60901975121041</v>
      </c>
      <c r="R40" s="352"/>
      <c r="S40" s="352"/>
      <c r="T40" s="180"/>
      <c r="U40" s="180"/>
    </row>
    <row r="41" spans="1:21" s="616" customFormat="1" ht="16.5" customHeight="1">
      <c r="A41" s="873"/>
      <c r="B41" s="874" t="s">
        <v>424</v>
      </c>
      <c r="C41" s="385">
        <v>19768.23029230276</v>
      </c>
      <c r="D41" s="385">
        <v>1733.6935589609154</v>
      </c>
      <c r="E41" s="386">
        <v>17743.332531683343</v>
      </c>
      <c r="F41" s="386">
        <v>473.85754278972325</v>
      </c>
      <c r="G41" s="386">
        <v>1102.5618679426127</v>
      </c>
      <c r="H41" s="386">
        <v>33.951854627553821</v>
      </c>
      <c r="I41" s="385">
        <v>187.00575712025605</v>
      </c>
      <c r="J41" s="653">
        <v>41042.673405427166</v>
      </c>
      <c r="K41" s="663">
        <v>20052.568450414597</v>
      </c>
      <c r="L41" s="385">
        <v>2406.2849166566502</v>
      </c>
      <c r="M41" s="386">
        <v>16548.757781405926</v>
      </c>
      <c r="N41" s="386">
        <v>688.2389149606297</v>
      </c>
      <c r="O41" s="386">
        <v>1123.3628380477662</v>
      </c>
      <c r="P41" s="386">
        <v>18.323482546260738</v>
      </c>
      <c r="Q41" s="386">
        <v>205.06022257740293</v>
      </c>
      <c r="R41" s="352"/>
      <c r="S41" s="352"/>
      <c r="T41" s="180"/>
      <c r="U41" s="180"/>
    </row>
    <row r="42" spans="1:21" s="616" customFormat="1" ht="16.5" customHeight="1">
      <c r="A42" s="873"/>
      <c r="B42" s="874" t="s">
        <v>425</v>
      </c>
      <c r="C42" s="385">
        <v>19757.062382363241</v>
      </c>
      <c r="D42" s="385">
        <v>1730.7297711148126</v>
      </c>
      <c r="E42" s="386">
        <v>18151.786756750236</v>
      </c>
      <c r="F42" s="386">
        <v>558.88360966907806</v>
      </c>
      <c r="G42" s="386">
        <v>1024.9945792728452</v>
      </c>
      <c r="H42" s="386">
        <v>20.534430300982656</v>
      </c>
      <c r="I42" s="385">
        <v>276.52781611830051</v>
      </c>
      <c r="J42" s="653">
        <v>41520.489345589493</v>
      </c>
      <c r="K42" s="663">
        <v>20083.905339198169</v>
      </c>
      <c r="L42" s="385">
        <v>2372.9134234128305</v>
      </c>
      <c r="M42" s="386">
        <v>17122.404947813222</v>
      </c>
      <c r="N42" s="386">
        <v>614.93824171548101</v>
      </c>
      <c r="O42" s="386">
        <v>1013.4048977572738</v>
      </c>
      <c r="P42" s="386">
        <v>18.368433546885196</v>
      </c>
      <c r="Q42" s="386">
        <v>294.61212887159712</v>
      </c>
      <c r="R42" s="352"/>
      <c r="S42" s="352"/>
      <c r="T42" s="180"/>
      <c r="U42" s="180"/>
    </row>
    <row r="43" spans="1:21" s="616" customFormat="1" ht="16.5" customHeight="1">
      <c r="A43" s="873"/>
      <c r="B43" s="874" t="s">
        <v>426</v>
      </c>
      <c r="C43" s="385">
        <v>19402.315594920288</v>
      </c>
      <c r="D43" s="385">
        <v>1701.8688531829457</v>
      </c>
      <c r="E43" s="386">
        <v>18827.597080303363</v>
      </c>
      <c r="F43" s="386">
        <v>485.53954273937404</v>
      </c>
      <c r="G43" s="386">
        <v>965.11162111833437</v>
      </c>
      <c r="H43" s="386">
        <v>34.684937384176251</v>
      </c>
      <c r="I43" s="385">
        <v>292.43754660404358</v>
      </c>
      <c r="J43" s="653">
        <v>41709.535176252524</v>
      </c>
      <c r="K43" s="663">
        <v>20064.013236298444</v>
      </c>
      <c r="L43" s="385">
        <v>2322.6338594975591</v>
      </c>
      <c r="M43" s="386">
        <v>17133.257296149313</v>
      </c>
      <c r="N43" s="386">
        <v>614.98349325481763</v>
      </c>
      <c r="O43" s="386">
        <v>1243.9076923169562</v>
      </c>
      <c r="P43" s="386">
        <v>16.859113488510296</v>
      </c>
      <c r="Q43" s="386">
        <v>313.82475300055404</v>
      </c>
      <c r="R43" s="352"/>
      <c r="S43" s="352"/>
      <c r="T43" s="180"/>
      <c r="U43" s="180"/>
    </row>
    <row r="44" spans="1:21" ht="20.25" customHeight="1">
      <c r="A44" s="253" t="s">
        <v>934</v>
      </c>
      <c r="B44" s="380"/>
      <c r="C44" s="380"/>
      <c r="D44" s="380"/>
      <c r="E44" s="380"/>
      <c r="F44" s="380"/>
      <c r="G44" s="380"/>
      <c r="H44" s="380"/>
      <c r="I44" s="380"/>
      <c r="J44" s="380"/>
      <c r="K44" s="380"/>
      <c r="L44" s="380"/>
      <c r="M44" s="380"/>
      <c r="N44" s="380"/>
      <c r="O44" s="380"/>
      <c r="P44" s="380"/>
      <c r="Q44" s="252" t="s">
        <v>935</v>
      </c>
    </row>
    <row r="45" spans="1:21" ht="14.25">
      <c r="A45" s="306"/>
      <c r="C45" s="1115"/>
      <c r="D45" s="1115"/>
      <c r="E45" s="1115"/>
      <c r="F45" s="1115"/>
      <c r="G45" s="1115"/>
      <c r="H45" s="1115"/>
      <c r="I45" s="1115"/>
      <c r="J45" s="1115"/>
      <c r="K45" s="1115"/>
      <c r="L45" s="1115"/>
      <c r="M45" s="1115"/>
      <c r="N45" s="1115"/>
      <c r="O45" s="1115"/>
      <c r="P45" s="1115"/>
      <c r="Q45" s="654"/>
    </row>
    <row r="46" spans="1:21" s="180" customFormat="1" ht="15">
      <c r="A46" s="276" t="s">
        <v>963</v>
      </c>
      <c r="B46" s="276"/>
      <c r="C46" s="276"/>
      <c r="D46" s="276"/>
      <c r="E46" s="276"/>
      <c r="F46" s="276"/>
      <c r="G46" s="276"/>
      <c r="H46" s="276"/>
      <c r="I46" s="276"/>
      <c r="J46" s="276"/>
      <c r="K46" s="276"/>
      <c r="L46" s="276"/>
      <c r="M46" s="276"/>
      <c r="N46" s="276"/>
      <c r="O46" s="276"/>
      <c r="P46" s="276"/>
      <c r="Q46" s="276"/>
    </row>
    <row r="47" spans="1:21">
      <c r="C47" s="1853"/>
      <c r="D47" s="1853"/>
      <c r="E47" s="1853"/>
      <c r="F47" s="1853"/>
      <c r="G47" s="1853"/>
      <c r="H47" s="1853"/>
      <c r="I47" s="1853"/>
      <c r="J47" s="1853"/>
      <c r="K47" s="1853"/>
      <c r="L47" s="1853"/>
      <c r="M47" s="1853"/>
      <c r="N47" s="1853"/>
      <c r="O47" s="1853"/>
      <c r="P47" s="1853"/>
      <c r="Q47" s="1853"/>
    </row>
    <row r="48" spans="1:21">
      <c r="C48" s="1853"/>
      <c r="D48" s="1853"/>
      <c r="E48" s="1853"/>
      <c r="F48" s="1853"/>
      <c r="G48" s="1853"/>
      <c r="H48" s="1853"/>
      <c r="I48" s="1853"/>
      <c r="J48" s="1853"/>
      <c r="K48" s="1853"/>
      <c r="L48" s="1853"/>
      <c r="M48" s="1853"/>
      <c r="N48" s="1853"/>
      <c r="O48" s="1853"/>
      <c r="P48" s="1853"/>
      <c r="Q48" s="1853"/>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4" activePane="bottomLeft" state="frozen"/>
      <selection activeCell="B12" sqref="B12"/>
      <selection pane="bottomLeft" activeCell="I39" sqref="I39"/>
    </sheetView>
  </sheetViews>
  <sheetFormatPr defaultColWidth="7.85546875" defaultRowHeight="15"/>
  <cols>
    <col min="1" max="1" width="9.28515625" style="381" customWidth="1"/>
    <col min="2" max="2" width="9" style="381"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964</v>
      </c>
      <c r="B1" s="275"/>
      <c r="C1" s="276"/>
      <c r="D1" s="276"/>
      <c r="E1" s="276"/>
      <c r="F1" s="276"/>
      <c r="G1" s="276"/>
      <c r="H1" s="276"/>
      <c r="I1" s="276"/>
      <c r="J1" s="276"/>
      <c r="K1" s="276"/>
    </row>
    <row r="2" spans="1:13" ht="18">
      <c r="A2" s="1690" t="s">
        <v>770</v>
      </c>
      <c r="B2" s="275"/>
      <c r="C2" s="276"/>
      <c r="D2" s="276"/>
      <c r="E2" s="276"/>
      <c r="F2" s="276"/>
      <c r="G2" s="276"/>
      <c r="H2" s="276"/>
      <c r="I2" s="276"/>
      <c r="J2" s="276"/>
      <c r="K2" s="276"/>
    </row>
    <row r="3" spans="1:13" ht="18">
      <c r="A3" s="277" t="s">
        <v>771</v>
      </c>
      <c r="B3" s="275"/>
      <c r="C3" s="276"/>
      <c r="D3" s="276"/>
      <c r="E3" s="276"/>
      <c r="F3" s="276"/>
      <c r="G3" s="276"/>
      <c r="H3" s="276"/>
      <c r="I3" s="276"/>
      <c r="J3" s="276"/>
      <c r="K3" s="276"/>
    </row>
    <row r="4" spans="1:13" ht="18">
      <c r="A4" s="1690"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772</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260" t="s">
        <v>965</v>
      </c>
      <c r="B10" s="1260"/>
      <c r="C10" s="278"/>
      <c r="D10" s="278"/>
      <c r="E10" s="278"/>
      <c r="F10" s="278"/>
      <c r="G10" s="278"/>
      <c r="H10" s="278"/>
      <c r="I10" s="278"/>
      <c r="J10" s="278"/>
      <c r="K10" s="246" t="s">
        <v>966</v>
      </c>
    </row>
    <row r="11" spans="1:13" s="285" customFormat="1" ht="53.45" customHeight="1">
      <c r="A11" s="286" t="s">
        <v>383</v>
      </c>
      <c r="B11" s="287"/>
      <c r="C11" s="288" t="s">
        <v>967</v>
      </c>
      <c r="D11" s="288" t="s">
        <v>968</v>
      </c>
      <c r="E11" s="288" t="s">
        <v>969</v>
      </c>
      <c r="F11" s="877" t="s">
        <v>970</v>
      </c>
      <c r="G11" s="877" t="s">
        <v>971</v>
      </c>
      <c r="H11" s="877" t="s">
        <v>972</v>
      </c>
      <c r="I11" s="288" t="s">
        <v>973</v>
      </c>
      <c r="J11" s="877" t="s">
        <v>974</v>
      </c>
      <c r="K11" s="877" t="s">
        <v>975</v>
      </c>
    </row>
    <row r="12" spans="1:13" s="161" customFormat="1" ht="53.45" customHeight="1">
      <c r="A12" s="178" t="s">
        <v>391</v>
      </c>
      <c r="B12" s="167"/>
      <c r="C12" s="168" t="s">
        <v>976</v>
      </c>
      <c r="D12" s="168" t="s">
        <v>977</v>
      </c>
      <c r="E12" s="168" t="s">
        <v>978</v>
      </c>
      <c r="F12" s="169" t="s">
        <v>979</v>
      </c>
      <c r="G12" s="169" t="s">
        <v>980</v>
      </c>
      <c r="H12" s="168" t="s">
        <v>981</v>
      </c>
      <c r="I12" s="169" t="s">
        <v>982</v>
      </c>
      <c r="J12" s="169" t="s">
        <v>983</v>
      </c>
      <c r="K12" s="169" t="s">
        <v>984</v>
      </c>
    </row>
    <row r="13" spans="1:13" s="306" customFormat="1" ht="20.25" customHeight="1">
      <c r="A13" s="1845">
        <v>2015</v>
      </c>
      <c r="B13" s="741"/>
      <c r="C13" s="1846">
        <v>25.388624266789424</v>
      </c>
      <c r="D13" s="1846">
        <v>24.427082156925195</v>
      </c>
      <c r="E13" s="1846">
        <v>47.979932357113007</v>
      </c>
      <c r="F13" s="1846">
        <v>46.529695669283846</v>
      </c>
      <c r="G13" s="1846">
        <v>47.731689614943505</v>
      </c>
      <c r="H13" s="1846">
        <v>52.915089745902002</v>
      </c>
      <c r="I13" s="1846">
        <v>56.695584290403026</v>
      </c>
      <c r="J13" s="1846">
        <v>58.205021528360213</v>
      </c>
      <c r="K13" s="1846">
        <v>16.934715036862983</v>
      </c>
    </row>
    <row r="14" spans="1:13" s="408" customFormat="1" ht="14.25" customHeight="1">
      <c r="A14" s="356">
        <v>2016</v>
      </c>
      <c r="B14" s="407"/>
      <c r="C14" s="1847">
        <v>25.83081099929084</v>
      </c>
      <c r="D14" s="1847">
        <v>24.890837291875794</v>
      </c>
      <c r="E14" s="1848">
        <v>48.664323547122407</v>
      </c>
      <c r="F14" s="1848">
        <v>44.418336607058009</v>
      </c>
      <c r="G14" s="1848">
        <v>46.303040931277344</v>
      </c>
      <c r="H14" s="1848">
        <v>53.079564486863717</v>
      </c>
      <c r="I14" s="1848">
        <v>54.945917151097461</v>
      </c>
      <c r="J14" s="1848">
        <v>58.139690772407818</v>
      </c>
      <c r="K14" s="1848">
        <v>16.783021556601007</v>
      </c>
    </row>
    <row r="15" spans="1:13" s="408" customFormat="1" ht="14.25" customHeight="1">
      <c r="A15" s="356">
        <v>2017</v>
      </c>
      <c r="B15" s="407"/>
      <c r="C15" s="1847">
        <v>27.714459608507212</v>
      </c>
      <c r="D15" s="1847">
        <v>26.652959778508897</v>
      </c>
      <c r="E15" s="1848">
        <v>51.221743402580231</v>
      </c>
      <c r="F15" s="1848">
        <v>42.575579779019534</v>
      </c>
      <c r="G15" s="1848">
        <v>45.511107063417427</v>
      </c>
      <c r="H15" s="1848">
        <v>54.106826061510297</v>
      </c>
      <c r="I15" s="1848">
        <v>54.917181607166846</v>
      </c>
      <c r="J15" s="1848">
        <v>59.279004709879665</v>
      </c>
      <c r="K15" s="1848">
        <v>16.652050282337196</v>
      </c>
    </row>
    <row r="16" spans="1:13" s="321" customFormat="1" ht="14.25" customHeight="1">
      <c r="A16" s="770">
        <v>2018</v>
      </c>
      <c r="B16" s="923"/>
      <c r="C16" s="1140">
        <v>29.229392260732599</v>
      </c>
      <c r="D16" s="1140">
        <v>28.42771628914825</v>
      </c>
      <c r="E16" s="1140">
        <v>53.320863242578049</v>
      </c>
      <c r="F16" s="1140">
        <v>41.848683130138589</v>
      </c>
      <c r="G16" s="1140">
        <v>45.247495653375253</v>
      </c>
      <c r="H16" s="1140">
        <v>54.817927698875273</v>
      </c>
      <c r="I16" s="1140">
        <v>51.524442796780598</v>
      </c>
      <c r="J16" s="1140">
        <v>57.7874563474154</v>
      </c>
      <c r="K16" s="1140">
        <v>16.209179203885451</v>
      </c>
      <c r="L16" s="929"/>
      <c r="M16" s="793"/>
    </row>
    <row r="17" spans="1:13" s="321" customFormat="1" ht="14.25" customHeight="1">
      <c r="A17" s="770">
        <v>2019</v>
      </c>
      <c r="B17" s="923"/>
      <c r="C17" s="1140">
        <v>27.527261202876627</v>
      </c>
      <c r="D17" s="1140">
        <v>26.674734929943028</v>
      </c>
      <c r="E17" s="1140">
        <v>54.197952287785419</v>
      </c>
      <c r="F17" s="1140">
        <v>43.605652949504154</v>
      </c>
      <c r="G17" s="1140">
        <v>46.373348297024215</v>
      </c>
      <c r="H17" s="1140">
        <v>50.790223690942724</v>
      </c>
      <c r="I17" s="1140">
        <v>55.166618264562779</v>
      </c>
      <c r="J17" s="1140">
        <v>64.110254402548989</v>
      </c>
      <c r="K17" s="1140">
        <v>16.580019082289585</v>
      </c>
      <c r="L17" s="929"/>
      <c r="M17" s="793"/>
    </row>
    <row r="18" spans="1:13" s="321" customFormat="1" ht="14.25" customHeight="1">
      <c r="A18" s="770">
        <v>2020</v>
      </c>
      <c r="B18" s="923"/>
      <c r="C18" s="1140">
        <v>29.378122748423216</v>
      </c>
      <c r="D18" s="1140">
        <v>28.335437657325564</v>
      </c>
      <c r="E18" s="1140">
        <v>61.5897894354367</v>
      </c>
      <c r="F18" s="1140">
        <v>40.927153092374873</v>
      </c>
      <c r="G18" s="1140">
        <v>44.676691700403978</v>
      </c>
      <c r="H18" s="1140">
        <v>47.699664210119913</v>
      </c>
      <c r="I18" s="1140">
        <v>63.741488751748541</v>
      </c>
      <c r="J18" s="1140">
        <v>72.432340207331663</v>
      </c>
      <c r="K18" s="1140">
        <v>19.446031645284361</v>
      </c>
      <c r="L18" s="929"/>
      <c r="M18" s="793"/>
    </row>
    <row r="19" spans="1:13" s="321" customFormat="1" ht="14.25" customHeight="1">
      <c r="A19" s="770">
        <v>2021</v>
      </c>
      <c r="B19" s="923"/>
      <c r="C19" s="1140">
        <v>29.180559956903668</v>
      </c>
      <c r="D19" s="1140">
        <v>27.964623828649064</v>
      </c>
      <c r="E19" s="1140">
        <v>58.307473080887959</v>
      </c>
      <c r="F19" s="1140">
        <v>40.797910435676641</v>
      </c>
      <c r="G19" s="1140">
        <v>44.795256172967335</v>
      </c>
      <c r="H19" s="1140">
        <v>50.046003393805933</v>
      </c>
      <c r="I19" s="1140">
        <v>59.926762243468872</v>
      </c>
      <c r="J19" s="1140">
        <v>69.008352884710575</v>
      </c>
      <c r="K19" s="1140">
        <v>21.128746090378929</v>
      </c>
      <c r="L19" s="929"/>
      <c r="M19" s="793"/>
    </row>
    <row r="20" spans="1:13" s="321" customFormat="1" ht="14.25" customHeight="1">
      <c r="A20" s="770">
        <v>2022</v>
      </c>
      <c r="B20" s="923"/>
      <c r="C20" s="1140">
        <v>29.539105133520689</v>
      </c>
      <c r="D20" s="1140">
        <v>27.892344776224846</v>
      </c>
      <c r="E20" s="1140">
        <v>59.45128691571044</v>
      </c>
      <c r="F20" s="1140">
        <v>37.558094264688883</v>
      </c>
      <c r="G20" s="1140">
        <v>44.354560333403619</v>
      </c>
      <c r="H20" s="1140">
        <v>49.686233328138037</v>
      </c>
      <c r="I20" s="1140">
        <v>59.756835717692155</v>
      </c>
      <c r="J20" s="1140">
        <v>70.924232395013149</v>
      </c>
      <c r="K20" s="1140">
        <v>17.883595658714416</v>
      </c>
      <c r="L20" s="929"/>
      <c r="M20" s="793"/>
    </row>
    <row r="21" spans="1:13" s="321" customFormat="1" ht="14.25" customHeight="1">
      <c r="A21" s="770">
        <v>2023</v>
      </c>
      <c r="B21" s="923"/>
      <c r="C21" s="1140">
        <f t="shared" ref="C21:K21" si="0">C26</f>
        <v>29.257353825207353</v>
      </c>
      <c r="D21" s="1140">
        <f t="shared" si="0"/>
        <v>26.958960363044746</v>
      </c>
      <c r="E21" s="1140">
        <f t="shared" si="0"/>
        <v>58.299721461128115</v>
      </c>
      <c r="F21" s="1140">
        <f t="shared" si="0"/>
        <v>36.284430075000962</v>
      </c>
      <c r="G21" s="1140">
        <f t="shared" si="0"/>
        <v>43.98780616246912</v>
      </c>
      <c r="H21" s="1140">
        <f t="shared" si="0"/>
        <v>50.184380117004451</v>
      </c>
      <c r="I21" s="1140">
        <f t="shared" si="0"/>
        <v>58.99536881174506</v>
      </c>
      <c r="J21" s="1140">
        <f t="shared" si="0"/>
        <v>70.073618759215876</v>
      </c>
      <c r="K21" s="1140">
        <f t="shared" si="0"/>
        <v>15.87532455968501</v>
      </c>
      <c r="L21" s="929"/>
      <c r="M21" s="793"/>
    </row>
    <row r="22" spans="1:13" s="321" customFormat="1" ht="14.25" customHeight="1">
      <c r="A22" s="930">
        <v>2024</v>
      </c>
      <c r="B22" s="931"/>
      <c r="C22" s="1002">
        <f t="shared" ref="C22:K22" si="1">C30</f>
        <v>29.542244688659853</v>
      </c>
      <c r="D22" s="1002">
        <f t="shared" si="1"/>
        <v>26.760997674010671</v>
      </c>
      <c r="E22" s="1331">
        <f t="shared" si="1"/>
        <v>59.901457663319732</v>
      </c>
      <c r="F22" s="1002">
        <f t="shared" si="1"/>
        <v>35.594979793004747</v>
      </c>
      <c r="G22" s="1002">
        <f t="shared" si="1"/>
        <v>45.721551780163075</v>
      </c>
      <c r="H22" s="1002">
        <f t="shared" si="1"/>
        <v>49.318073117192029</v>
      </c>
      <c r="I22" s="1002">
        <f t="shared" si="1"/>
        <v>60.640290504070997</v>
      </c>
      <c r="J22" s="1002">
        <f t="shared" si="1"/>
        <v>69.097163842787168</v>
      </c>
      <c r="K22" s="1002">
        <f t="shared" si="1"/>
        <v>15.866955010560897</v>
      </c>
      <c r="L22" s="929"/>
      <c r="M22" s="793"/>
    </row>
    <row r="23" spans="1:13" s="321" customFormat="1" ht="21" customHeight="1">
      <c r="A23" s="770">
        <v>2023</v>
      </c>
      <c r="B23" s="923" t="s">
        <v>243</v>
      </c>
      <c r="C23" s="1140">
        <v>30.692678629689308</v>
      </c>
      <c r="D23" s="1140">
        <v>29.245148440181076</v>
      </c>
      <c r="E23" s="1140">
        <v>59.391687252271865</v>
      </c>
      <c r="F23" s="1140">
        <v>34.388298403635503</v>
      </c>
      <c r="G23" s="1140">
        <v>42.428527519951025</v>
      </c>
      <c r="H23" s="1140">
        <v>51.678408291920086</v>
      </c>
      <c r="I23" s="1140">
        <v>59.498950213150607</v>
      </c>
      <c r="J23" s="1140">
        <v>72.003020231368112</v>
      </c>
      <c r="K23" s="1140">
        <v>17.369300969414748</v>
      </c>
      <c r="L23" s="929"/>
      <c r="M23" s="793"/>
    </row>
    <row r="24" spans="1:13" s="321" customFormat="1">
      <c r="A24" s="770"/>
      <c r="B24" s="923" t="s">
        <v>244</v>
      </c>
      <c r="C24" s="1140">
        <v>30.425851726336258</v>
      </c>
      <c r="D24" s="1140">
        <v>28.825307547706913</v>
      </c>
      <c r="E24" s="1140">
        <v>59.85856449754165</v>
      </c>
      <c r="F24" s="1140">
        <v>34.769178628637384</v>
      </c>
      <c r="G24" s="1140">
        <v>42.264765367757825</v>
      </c>
      <c r="H24" s="1140">
        <v>50.829571309859645</v>
      </c>
      <c r="I24" s="1140">
        <v>59.685220266484507</v>
      </c>
      <c r="J24" s="1140">
        <v>71.475533914014918</v>
      </c>
      <c r="K24" s="1140">
        <v>15.37738115756124</v>
      </c>
      <c r="L24" s="929"/>
      <c r="M24" s="793"/>
    </row>
    <row r="25" spans="1:13" s="321" customFormat="1">
      <c r="A25" s="770"/>
      <c r="B25" s="771" t="s">
        <v>245</v>
      </c>
      <c r="C25" s="1849">
        <v>29.543995270723329</v>
      </c>
      <c r="D25" s="1140">
        <v>27.946786674778362</v>
      </c>
      <c r="E25" s="1850">
        <v>58.921005282150205</v>
      </c>
      <c r="F25" s="1140">
        <v>35.378990624781792</v>
      </c>
      <c r="G25" s="1140">
        <v>43.514107768448987</v>
      </c>
      <c r="H25" s="1140">
        <v>50.141702656375962</v>
      </c>
      <c r="I25" s="1140">
        <v>59.550186233736667</v>
      </c>
      <c r="J25" s="1140">
        <v>70.394651871525838</v>
      </c>
      <c r="K25" s="1140">
        <v>15.281992115500303</v>
      </c>
      <c r="L25" s="929"/>
      <c r="M25" s="793"/>
    </row>
    <row r="26" spans="1:13" s="321" customFormat="1">
      <c r="A26" s="770"/>
      <c r="B26" s="923" t="s">
        <v>242</v>
      </c>
      <c r="C26" s="1140">
        <v>29.257353825207353</v>
      </c>
      <c r="D26" s="1140">
        <v>26.958960363044746</v>
      </c>
      <c r="E26" s="1140">
        <v>58.299721461128115</v>
      </c>
      <c r="F26" s="1140">
        <v>36.284430075000962</v>
      </c>
      <c r="G26" s="1140">
        <v>43.98780616246912</v>
      </c>
      <c r="H26" s="1140">
        <v>50.184380117004451</v>
      </c>
      <c r="I26" s="1140">
        <v>58.99536881174506</v>
      </c>
      <c r="J26" s="1140">
        <v>70.073618759215876</v>
      </c>
      <c r="K26" s="1140">
        <v>15.87532455968501</v>
      </c>
      <c r="L26" s="929"/>
      <c r="M26" s="793"/>
    </row>
    <row r="27" spans="1:13" s="321" customFormat="1" ht="21" customHeight="1">
      <c r="A27" s="770">
        <v>2024</v>
      </c>
      <c r="B27" s="923" t="s">
        <v>243</v>
      </c>
      <c r="C27" s="1140">
        <f t="shared" ref="C27:K27" si="2">C34</f>
        <v>29.790928001446897</v>
      </c>
      <c r="D27" s="1140">
        <f t="shared" si="2"/>
        <v>27.315091631950626</v>
      </c>
      <c r="E27" s="1140">
        <f t="shared" si="2"/>
        <v>59.942662254548495</v>
      </c>
      <c r="F27" s="1140">
        <f t="shared" si="2"/>
        <v>35.929822467467886</v>
      </c>
      <c r="G27" s="1140">
        <f t="shared" si="2"/>
        <v>45.009815097682321</v>
      </c>
      <c r="H27" s="1140">
        <f t="shared" si="2"/>
        <v>49.699040517984898</v>
      </c>
      <c r="I27" s="1140">
        <f t="shared" si="2"/>
        <v>58.604030067608392</v>
      </c>
      <c r="J27" s="1140">
        <f t="shared" si="2"/>
        <v>68.65208073300461</v>
      </c>
      <c r="K27" s="1140">
        <f t="shared" si="2"/>
        <v>15.540816273371496</v>
      </c>
      <c r="L27" s="929"/>
      <c r="M27" s="793"/>
    </row>
    <row r="28" spans="1:13" s="321" customFormat="1" ht="15" customHeight="1">
      <c r="A28" s="770"/>
      <c r="B28" s="923" t="s">
        <v>244</v>
      </c>
      <c r="C28" s="1140">
        <f t="shared" ref="C28:K28" si="3">C37</f>
        <v>29.683344237701188</v>
      </c>
      <c r="D28" s="1140">
        <f t="shared" si="3"/>
        <v>27.225694083446093</v>
      </c>
      <c r="E28" s="1140">
        <f t="shared" si="3"/>
        <v>60.339307092907951</v>
      </c>
      <c r="F28" s="1140">
        <f t="shared" si="3"/>
        <v>35.572315228179185</v>
      </c>
      <c r="G28" s="1140">
        <f t="shared" si="3"/>
        <v>45.783171192033102</v>
      </c>
      <c r="H28" s="1140">
        <f t="shared" si="3"/>
        <v>49.194042271642282</v>
      </c>
      <c r="I28" s="1140">
        <f t="shared" si="3"/>
        <v>59.813862259587047</v>
      </c>
      <c r="J28" s="1140">
        <f t="shared" si="3"/>
        <v>69.828273108579921</v>
      </c>
      <c r="K28" s="1140">
        <f t="shared" si="3"/>
        <v>15.943344054853341</v>
      </c>
      <c r="L28" s="929"/>
      <c r="M28" s="793"/>
    </row>
    <row r="29" spans="1:13" s="321" customFormat="1" ht="15" customHeight="1">
      <c r="A29" s="770"/>
      <c r="B29" s="923" t="s">
        <v>245</v>
      </c>
      <c r="C29" s="1140">
        <f t="shared" ref="C29:K29" si="4">C40</f>
        <v>29.289918254313822</v>
      </c>
      <c r="D29" s="1140">
        <f t="shared" si="4"/>
        <v>26.739916836258477</v>
      </c>
      <c r="E29" s="1140">
        <f t="shared" si="4"/>
        <v>57.586009571615975</v>
      </c>
      <c r="F29" s="1140">
        <f t="shared" si="4"/>
        <v>34.374947304350371</v>
      </c>
      <c r="G29" s="1140">
        <f t="shared" si="4"/>
        <v>44.220970274918656</v>
      </c>
      <c r="H29" s="1140">
        <f t="shared" si="4"/>
        <v>50.862906584780553</v>
      </c>
      <c r="I29" s="1140">
        <f t="shared" si="4"/>
        <v>59.003153047288784</v>
      </c>
      <c r="J29" s="1140">
        <f t="shared" si="4"/>
        <v>69.066742204921454</v>
      </c>
      <c r="K29" s="1140">
        <f t="shared" si="4"/>
        <v>15.60873015067418</v>
      </c>
      <c r="L29" s="929"/>
      <c r="M29" s="793"/>
    </row>
    <row r="30" spans="1:13" s="321" customFormat="1" ht="15" customHeight="1">
      <c r="A30" s="930"/>
      <c r="B30" s="931" t="s">
        <v>242</v>
      </c>
      <c r="C30" s="1002">
        <f t="shared" ref="C30:K30" si="5">C43</f>
        <v>29.542244688659853</v>
      </c>
      <c r="D30" s="1002">
        <f t="shared" si="5"/>
        <v>26.760997674010671</v>
      </c>
      <c r="E30" s="1002">
        <f t="shared" si="5"/>
        <v>59.901457663319732</v>
      </c>
      <c r="F30" s="1002">
        <f t="shared" si="5"/>
        <v>35.594979793004747</v>
      </c>
      <c r="G30" s="1002">
        <f t="shared" si="5"/>
        <v>45.721551780163075</v>
      </c>
      <c r="H30" s="1002">
        <f t="shared" si="5"/>
        <v>49.318073117192029</v>
      </c>
      <c r="I30" s="1002">
        <f t="shared" si="5"/>
        <v>60.640290504070997</v>
      </c>
      <c r="J30" s="1002">
        <f t="shared" si="5"/>
        <v>69.097163842787168</v>
      </c>
      <c r="K30" s="1002">
        <f t="shared" si="5"/>
        <v>15.866955010560897</v>
      </c>
      <c r="L30" s="929"/>
      <c r="M30" s="793"/>
    </row>
    <row r="31" spans="1:13" s="321" customFormat="1" ht="21" customHeight="1">
      <c r="A31" s="770">
        <v>2023</v>
      </c>
      <c r="B31" s="923" t="s">
        <v>426</v>
      </c>
      <c r="C31" s="1140">
        <v>29.257353825207353</v>
      </c>
      <c r="D31" s="1140">
        <v>26.958960363044746</v>
      </c>
      <c r="E31" s="1140">
        <v>58.299721461128115</v>
      </c>
      <c r="F31" s="1140">
        <v>36.284430075000962</v>
      </c>
      <c r="G31" s="1140">
        <v>43.98780616246912</v>
      </c>
      <c r="H31" s="1140">
        <v>50.184380117004451</v>
      </c>
      <c r="I31" s="1140">
        <v>58.99536881174506</v>
      </c>
      <c r="J31" s="1140">
        <v>70.073618759215876</v>
      </c>
      <c r="K31" s="1140">
        <v>15.87532455968501</v>
      </c>
      <c r="M31" s="793"/>
    </row>
    <row r="32" spans="1:13" s="321" customFormat="1" ht="21" customHeight="1">
      <c r="A32" s="770">
        <v>2024</v>
      </c>
      <c r="B32" s="923" t="s">
        <v>427</v>
      </c>
      <c r="C32" s="1140">
        <v>29.077412576975181</v>
      </c>
      <c r="D32" s="1140">
        <v>26.768091331780379</v>
      </c>
      <c r="E32" s="1140">
        <v>58.556422889767141</v>
      </c>
      <c r="F32" s="1140">
        <v>36.81564777010972</v>
      </c>
      <c r="G32" s="1140">
        <v>45.194007548409736</v>
      </c>
      <c r="H32" s="1140">
        <v>49.657084811539121</v>
      </c>
      <c r="I32" s="1140">
        <v>58.456536430634721</v>
      </c>
      <c r="J32" s="1140">
        <v>69.520491260533475</v>
      </c>
      <c r="K32" s="1140">
        <v>15.074957464201646</v>
      </c>
      <c r="M32" s="793"/>
    </row>
    <row r="33" spans="1:13" s="321" customFormat="1" ht="16.5" customHeight="1">
      <c r="A33" s="770"/>
      <c r="B33" s="923" t="s">
        <v>416</v>
      </c>
      <c r="C33" s="1140">
        <v>29.503697080356709</v>
      </c>
      <c r="D33" s="1140">
        <v>26.972338451571055</v>
      </c>
      <c r="E33" s="1140">
        <v>59.887033202671176</v>
      </c>
      <c r="F33" s="1140">
        <v>36.523445921530794</v>
      </c>
      <c r="G33" s="1140">
        <v>44.712421209503191</v>
      </c>
      <c r="H33" s="1140">
        <v>49.265584722672052</v>
      </c>
      <c r="I33" s="1140">
        <v>59.204902824909581</v>
      </c>
      <c r="J33" s="1140">
        <v>69.642274454306502</v>
      </c>
      <c r="K33" s="1140">
        <v>15.830850632387401</v>
      </c>
      <c r="M33" s="793"/>
    </row>
    <row r="34" spans="1:13" s="321" customFormat="1" ht="16.5" customHeight="1">
      <c r="A34" s="770"/>
      <c r="B34" s="923" t="s">
        <v>417</v>
      </c>
      <c r="C34" s="1140">
        <v>29.790928001446897</v>
      </c>
      <c r="D34" s="1140">
        <v>27.315091631950626</v>
      </c>
      <c r="E34" s="1140">
        <v>59.942662254548495</v>
      </c>
      <c r="F34" s="1140">
        <v>35.929822467467886</v>
      </c>
      <c r="G34" s="1140">
        <v>45.009815097682321</v>
      </c>
      <c r="H34" s="1140">
        <v>49.699040517984898</v>
      </c>
      <c r="I34" s="1140">
        <v>58.604030067608392</v>
      </c>
      <c r="J34" s="1140">
        <v>68.65208073300461</v>
      </c>
      <c r="K34" s="1140">
        <v>15.540816273371496</v>
      </c>
      <c r="M34" s="793"/>
    </row>
    <row r="35" spans="1:13" s="321" customFormat="1" ht="16.5" customHeight="1">
      <c r="A35" s="770"/>
      <c r="B35" s="923" t="s">
        <v>418</v>
      </c>
      <c r="C35" s="1140">
        <v>29.734661154499225</v>
      </c>
      <c r="D35" s="1140">
        <v>27.280748824868947</v>
      </c>
      <c r="E35" s="1140">
        <v>60.448321793581059</v>
      </c>
      <c r="F35" s="1140">
        <v>36.126737028406062</v>
      </c>
      <c r="G35" s="1140">
        <v>45.63756004161457</v>
      </c>
      <c r="H35" s="1140">
        <v>49.190217812890083</v>
      </c>
      <c r="I35" s="1140">
        <v>59.674369830452711</v>
      </c>
      <c r="J35" s="1140">
        <v>69.106968200040257</v>
      </c>
      <c r="K35" s="1140">
        <v>15.96319818936615</v>
      </c>
      <c r="M35" s="793"/>
    </row>
    <row r="36" spans="1:13" s="321" customFormat="1" ht="16.5" customHeight="1">
      <c r="A36" s="770"/>
      <c r="B36" s="923" t="s">
        <v>419</v>
      </c>
      <c r="C36" s="1140">
        <v>29.583713830484147</v>
      </c>
      <c r="D36" s="1140">
        <v>27.121293325864098</v>
      </c>
      <c r="E36" s="1140">
        <v>59.120236330821349</v>
      </c>
      <c r="F36" s="1140">
        <v>36.49761250537712</v>
      </c>
      <c r="G36" s="1140">
        <v>46.065126454338923</v>
      </c>
      <c r="H36" s="1140">
        <v>50.039911317237369</v>
      </c>
      <c r="I36" s="1140">
        <v>58.740264033260594</v>
      </c>
      <c r="J36" s="1140">
        <v>67.420050979883669</v>
      </c>
      <c r="K36" s="1140">
        <v>15.156407644733102</v>
      </c>
      <c r="M36" s="793"/>
    </row>
    <row r="37" spans="1:13" s="321" customFormat="1" ht="16.5" customHeight="1">
      <c r="A37" s="770"/>
      <c r="B37" s="923" t="s">
        <v>420</v>
      </c>
      <c r="C37" s="1140">
        <v>29.683344237701188</v>
      </c>
      <c r="D37" s="1140">
        <v>27.225694083446093</v>
      </c>
      <c r="E37" s="1140">
        <v>60.339307092907951</v>
      </c>
      <c r="F37" s="1140">
        <v>35.572315228179185</v>
      </c>
      <c r="G37" s="1140">
        <v>45.783171192033102</v>
      </c>
      <c r="H37" s="1140">
        <v>49.194042271642282</v>
      </c>
      <c r="I37" s="1140">
        <v>59.813862259587047</v>
      </c>
      <c r="J37" s="1140">
        <v>69.828273108579921</v>
      </c>
      <c r="K37" s="1140">
        <v>15.943344054853341</v>
      </c>
      <c r="M37" s="793"/>
    </row>
    <row r="38" spans="1:13" s="321" customFormat="1" ht="16.5" customHeight="1">
      <c r="A38" s="770"/>
      <c r="B38" s="923" t="s">
        <v>421</v>
      </c>
      <c r="C38" s="1140">
        <v>29.668150850471466</v>
      </c>
      <c r="D38" s="1140">
        <v>27.083971065660918</v>
      </c>
      <c r="E38" s="1140">
        <v>59.073844231856199</v>
      </c>
      <c r="F38" s="1140">
        <v>35.637227491823978</v>
      </c>
      <c r="G38" s="1140">
        <v>45.415481303107825</v>
      </c>
      <c r="H38" s="1140">
        <v>50.222143549738043</v>
      </c>
      <c r="I38" s="1140">
        <v>58.335013394340521</v>
      </c>
      <c r="J38" s="1140">
        <v>68.994087002503122</v>
      </c>
      <c r="K38" s="1140">
        <v>16.233700523321343</v>
      </c>
      <c r="M38" s="793"/>
    </row>
    <row r="39" spans="1:13" s="321" customFormat="1" ht="16.5" customHeight="1">
      <c r="A39" s="770"/>
      <c r="B39" s="923" t="s">
        <v>422</v>
      </c>
      <c r="C39" s="1140">
        <v>29.216784902193933</v>
      </c>
      <c r="D39" s="1140">
        <v>26.609469631720803</v>
      </c>
      <c r="E39" s="1140">
        <v>58.445841413611497</v>
      </c>
      <c r="F39" s="1140">
        <v>35.810143479530375</v>
      </c>
      <c r="G39" s="1140">
        <v>44.742326050052384</v>
      </c>
      <c r="H39" s="1140">
        <v>49.989501725933941</v>
      </c>
      <c r="I39" s="1140">
        <v>58.419462644938399</v>
      </c>
      <c r="J39" s="1140">
        <v>68.640514920443067</v>
      </c>
      <c r="K39" s="1140">
        <v>16.693651971379143</v>
      </c>
      <c r="M39" s="793"/>
    </row>
    <row r="40" spans="1:13" s="321" customFormat="1" ht="16.5" customHeight="1">
      <c r="A40" s="770"/>
      <c r="B40" s="923" t="s">
        <v>423</v>
      </c>
      <c r="C40" s="1140">
        <v>29.289918254313822</v>
      </c>
      <c r="D40" s="1140">
        <v>26.739916836258477</v>
      </c>
      <c r="E40" s="1140">
        <v>57.586009571615975</v>
      </c>
      <c r="F40" s="1140">
        <v>34.374947304350371</v>
      </c>
      <c r="G40" s="1140">
        <v>44.220970274918656</v>
      </c>
      <c r="H40" s="1140">
        <v>50.862906584780553</v>
      </c>
      <c r="I40" s="1140">
        <v>59.003153047288784</v>
      </c>
      <c r="J40" s="1140">
        <v>69.066742204921454</v>
      </c>
      <c r="K40" s="1140">
        <v>15.60873015067418</v>
      </c>
      <c r="M40" s="793"/>
    </row>
    <row r="41" spans="1:13" s="321" customFormat="1" ht="16.5" customHeight="1">
      <c r="A41" s="770"/>
      <c r="B41" s="923" t="s">
        <v>424</v>
      </c>
      <c r="C41" s="1140">
        <v>29.37419528551456</v>
      </c>
      <c r="D41" s="1140">
        <v>26.84733973006125</v>
      </c>
      <c r="E41" s="1140">
        <v>58.94493449819376</v>
      </c>
      <c r="F41" s="1140">
        <v>34.229769744384612</v>
      </c>
      <c r="G41" s="1140">
        <v>44.50212989976859</v>
      </c>
      <c r="H41" s="1140">
        <v>49.833281749451544</v>
      </c>
      <c r="I41" s="1140">
        <v>61.10315292101982</v>
      </c>
      <c r="J41" s="1140">
        <v>70.278882717888266</v>
      </c>
      <c r="K41" s="1140">
        <v>15.599794723598238</v>
      </c>
      <c r="M41" s="793"/>
    </row>
    <row r="42" spans="1:13" s="321" customFormat="1" ht="16.5" customHeight="1">
      <c r="A42" s="770"/>
      <c r="B42" s="923" t="s">
        <v>425</v>
      </c>
      <c r="C42" s="1140">
        <v>29.370705222382345</v>
      </c>
      <c r="D42" s="1140">
        <v>26.834281462999211</v>
      </c>
      <c r="E42" s="1140">
        <v>60.020041980152719</v>
      </c>
      <c r="F42" s="1140">
        <v>35.094943141548171</v>
      </c>
      <c r="G42" s="1140">
        <v>45.075245810590467</v>
      </c>
      <c r="H42" s="1140">
        <v>48.934829522602762</v>
      </c>
      <c r="I42" s="1140">
        <v>61.06295824942255</v>
      </c>
      <c r="J42" s="1140">
        <v>70.053384912559778</v>
      </c>
      <c r="K42" s="1140">
        <v>15.386718668267989</v>
      </c>
      <c r="M42" s="793"/>
    </row>
    <row r="43" spans="1:13" s="321" customFormat="1" ht="16.5" customHeight="1">
      <c r="A43" s="770"/>
      <c r="B43" s="923" t="s">
        <v>426</v>
      </c>
      <c r="C43" s="1140">
        <v>29.542244688659853</v>
      </c>
      <c r="D43" s="1140">
        <v>26.760997674010671</v>
      </c>
      <c r="E43" s="1140">
        <v>59.901457663319732</v>
      </c>
      <c r="F43" s="1140">
        <v>35.594979793004747</v>
      </c>
      <c r="G43" s="1140">
        <v>45.721551780163075</v>
      </c>
      <c r="H43" s="1140">
        <v>49.318073117192029</v>
      </c>
      <c r="I43" s="1140">
        <v>60.640290504070997</v>
      </c>
      <c r="J43" s="1140">
        <v>69.097163842787168</v>
      </c>
      <c r="K43" s="1140">
        <v>15.866955010560897</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115"/>
      <c r="F46" s="656"/>
      <c r="G46" s="656"/>
      <c r="H46" s="656"/>
      <c r="I46" s="656"/>
      <c r="J46" s="656"/>
      <c r="K46" s="656"/>
    </row>
    <row r="47" spans="1:13" ht="12.75" customHeight="1">
      <c r="A47" s="319" t="s">
        <v>985</v>
      </c>
      <c r="B47" s="320"/>
      <c r="C47" s="320"/>
      <c r="D47" s="320"/>
      <c r="E47" s="320"/>
      <c r="F47" s="320"/>
      <c r="G47" s="320"/>
      <c r="H47" s="320"/>
      <c r="I47" s="320"/>
      <c r="J47" s="282"/>
      <c r="K47" s="282"/>
    </row>
    <row r="48" spans="1:13" ht="16.5">
      <c r="B48" s="283"/>
      <c r="C48" s="276"/>
      <c r="E48" s="1851"/>
      <c r="F48" s="1852"/>
      <c r="I48" s="348"/>
    </row>
    <row r="49" spans="1:9" ht="16.5">
      <c r="A49" s="282"/>
      <c r="B49" s="283"/>
      <c r="C49" s="276"/>
      <c r="E49" s="1851"/>
      <c r="F49" s="1852"/>
      <c r="I49" s="348"/>
    </row>
    <row r="50" spans="1:9" ht="16.5">
      <c r="A50" s="247"/>
      <c r="B50" s="284"/>
      <c r="E50" s="1851"/>
      <c r="F50" s="1852"/>
      <c r="I50" s="348"/>
    </row>
    <row r="51" spans="1:9" ht="16.5">
      <c r="E51" s="1851"/>
      <c r="F51" s="1852"/>
      <c r="I51" s="348"/>
    </row>
    <row r="52" spans="1:9" ht="16.5">
      <c r="E52" s="1851"/>
      <c r="F52" s="1852"/>
      <c r="I52" s="348"/>
    </row>
    <row r="53" spans="1:9" ht="16.5">
      <c r="E53" s="1851"/>
      <c r="F53" s="1852"/>
      <c r="I53" s="348"/>
    </row>
    <row r="54" spans="1:9" ht="16.5">
      <c r="E54" s="1851"/>
      <c r="F54" s="1852"/>
      <c r="I54" s="348"/>
    </row>
    <row r="55" spans="1:9" ht="16.5">
      <c r="E55" s="352"/>
      <c r="F55" s="1852"/>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4"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19" activePane="bottomLeft" state="frozen"/>
      <selection activeCell="B12" sqref="B12"/>
      <selection pane="bottomLeft" activeCell="R34" sqref="R34"/>
    </sheetView>
  </sheetViews>
  <sheetFormatPr defaultRowHeight="12.75"/>
  <cols>
    <col min="1" max="2" width="9.7109375" style="25" customWidth="1"/>
    <col min="3" max="3" width="9.42578125" style="25" customWidth="1"/>
    <col min="4" max="4" width="12.7109375" style="25" customWidth="1"/>
    <col min="5" max="5" width="14.7109375" style="25" customWidth="1"/>
    <col min="6" max="6" width="12" style="25" customWidth="1"/>
    <col min="7" max="7" width="10.140625" style="25" customWidth="1"/>
    <col min="8" max="8" width="10.7109375" style="25" customWidth="1"/>
    <col min="9" max="9" width="12.7109375" style="25" customWidth="1"/>
    <col min="10" max="10" width="14.7109375" style="25" customWidth="1"/>
    <col min="11" max="11" width="11.7109375" style="25" customWidth="1"/>
    <col min="12" max="12" width="13.42578125" style="25" customWidth="1"/>
    <col min="13" max="13" width="11" style="25" customWidth="1"/>
    <col min="14" max="14" width="11.28515625" style="25" customWidth="1"/>
    <col min="15" max="15" width="11.85546875" style="25" customWidth="1"/>
    <col min="16" max="16" width="10.7109375" style="25" customWidth="1"/>
    <col min="17" max="17" width="9.28515625" style="25" bestFit="1" customWidth="1"/>
    <col min="18" max="19" width="15.28515625" style="25" bestFit="1" customWidth="1"/>
    <col min="20" max="16384" width="9.140625" style="25"/>
  </cols>
  <sheetData>
    <row r="1" spans="1:19" s="8" customFormat="1" ht="18" customHeight="1">
      <c r="A1" s="1747" t="s">
        <v>1768</v>
      </c>
      <c r="B1" s="1746"/>
      <c r="C1" s="1746"/>
      <c r="D1" s="1746"/>
      <c r="E1" s="1746"/>
      <c r="F1" s="1746"/>
      <c r="G1" s="1746"/>
      <c r="H1" s="1746"/>
      <c r="I1" s="1746"/>
      <c r="J1" s="1746"/>
      <c r="K1" s="1746"/>
      <c r="L1" s="1746"/>
      <c r="M1" s="1746"/>
      <c r="N1" s="1746"/>
      <c r="O1" s="1746"/>
      <c r="P1" s="1746"/>
    </row>
    <row r="2" spans="1:19" s="8" customFormat="1" ht="18" customHeight="1">
      <c r="A2" s="1745" t="s">
        <v>986</v>
      </c>
      <c r="B2" s="1746"/>
      <c r="C2" s="1746"/>
      <c r="D2" s="1746"/>
      <c r="E2" s="1746"/>
      <c r="F2" s="1746"/>
      <c r="G2" s="1746"/>
      <c r="H2" s="1746"/>
      <c r="I2" s="1746"/>
      <c r="J2" s="1746"/>
      <c r="K2" s="1746"/>
      <c r="L2" s="1746"/>
      <c r="M2" s="1746"/>
      <c r="N2" s="1746"/>
      <c r="O2" s="1746"/>
      <c r="P2" s="1746"/>
    </row>
    <row r="3" spans="1:19" s="8" customFormat="1" ht="18" customHeight="1">
      <c r="A3" s="1747" t="s">
        <v>987</v>
      </c>
      <c r="B3" s="1746"/>
      <c r="C3" s="1746"/>
      <c r="D3" s="1746"/>
      <c r="E3" s="1746"/>
      <c r="F3" s="1746"/>
      <c r="G3" s="1746"/>
      <c r="H3" s="1746"/>
      <c r="I3" s="1746"/>
      <c r="J3" s="1746"/>
      <c r="K3" s="1746"/>
      <c r="L3" s="1746"/>
      <c r="M3" s="1746"/>
      <c r="N3" s="1746"/>
      <c r="O3" s="1746"/>
      <c r="P3" s="1746"/>
    </row>
    <row r="4" spans="1:19" s="8" customFormat="1" ht="18" customHeight="1">
      <c r="A4" s="1747" t="s">
        <v>988</v>
      </c>
      <c r="B4" s="1746"/>
      <c r="C4" s="1746"/>
      <c r="D4" s="1746"/>
      <c r="E4" s="1746"/>
      <c r="F4" s="1746"/>
      <c r="G4" s="1746"/>
      <c r="H4" s="1746"/>
      <c r="I4" s="1746"/>
      <c r="J4" s="1746"/>
      <c r="K4" s="1746"/>
      <c r="L4" s="1746"/>
      <c r="M4" s="1746"/>
      <c r="N4" s="1746"/>
      <c r="O4" s="1746"/>
      <c r="P4" s="1746"/>
    </row>
    <row r="5" spans="1:19" ht="20.25" customHeight="1">
      <c r="A5" s="16" t="s">
        <v>989</v>
      </c>
      <c r="B5" s="4"/>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1758" t="s">
        <v>497</v>
      </c>
      <c r="D7" s="40"/>
      <c r="E7" s="123"/>
      <c r="F7" s="123"/>
      <c r="G7" s="1759"/>
      <c r="H7" s="1760" t="s">
        <v>990</v>
      </c>
      <c r="I7" s="1761" t="s">
        <v>991</v>
      </c>
      <c r="J7" s="40"/>
      <c r="K7" s="123"/>
      <c r="L7" s="123"/>
      <c r="M7" s="1759"/>
      <c r="N7" s="1762" t="s">
        <v>992</v>
      </c>
      <c r="O7" s="1751"/>
      <c r="P7" s="1751"/>
    </row>
    <row r="8" spans="1:19" s="39" customFormat="1" ht="16.5" customHeight="1">
      <c r="A8" s="370" t="s">
        <v>383</v>
      </c>
      <c r="B8" s="81"/>
      <c r="D8" s="270" t="s">
        <v>993</v>
      </c>
      <c r="E8" s="270" t="s">
        <v>993</v>
      </c>
      <c r="F8" s="270" t="s">
        <v>993</v>
      </c>
      <c r="H8" s="270"/>
      <c r="I8" s="270" t="s">
        <v>993</v>
      </c>
      <c r="J8" s="270" t="s">
        <v>993</v>
      </c>
      <c r="K8" s="371"/>
      <c r="L8" s="372" t="s">
        <v>994</v>
      </c>
      <c r="N8" s="371"/>
      <c r="O8" s="270" t="s">
        <v>434</v>
      </c>
      <c r="P8" s="270" t="s">
        <v>995</v>
      </c>
    </row>
    <row r="9" spans="1:19" s="39" customFormat="1" ht="16.5" customHeight="1">
      <c r="A9" s="62" t="s">
        <v>391</v>
      </c>
      <c r="B9" s="74"/>
      <c r="C9" s="270" t="s">
        <v>775</v>
      </c>
      <c r="D9" s="79" t="s">
        <v>436</v>
      </c>
      <c r="E9" s="271" t="s">
        <v>815</v>
      </c>
      <c r="F9" s="95" t="s">
        <v>395</v>
      </c>
      <c r="G9" s="270" t="s">
        <v>396</v>
      </c>
      <c r="H9" s="270" t="s">
        <v>386</v>
      </c>
      <c r="I9" s="79" t="s">
        <v>436</v>
      </c>
      <c r="J9" s="271" t="s">
        <v>815</v>
      </c>
      <c r="K9" s="270" t="s">
        <v>781</v>
      </c>
      <c r="L9" s="372" t="s">
        <v>996</v>
      </c>
      <c r="M9" s="270" t="s">
        <v>396</v>
      </c>
      <c r="N9" s="373" t="s">
        <v>386</v>
      </c>
      <c r="O9" s="63" t="s">
        <v>376</v>
      </c>
      <c r="P9" s="63" t="s">
        <v>997</v>
      </c>
    </row>
    <row r="10" spans="1:19" s="39" customFormat="1" ht="16.5" customHeight="1">
      <c r="A10" s="82"/>
      <c r="B10" s="74"/>
      <c r="C10" s="374" t="s">
        <v>778</v>
      </c>
      <c r="D10" s="107" t="s">
        <v>998</v>
      </c>
      <c r="E10" s="107" t="s">
        <v>998</v>
      </c>
      <c r="F10" s="107" t="s">
        <v>998</v>
      </c>
      <c r="G10" s="228" t="s">
        <v>999</v>
      </c>
      <c r="H10" s="374" t="s">
        <v>397</v>
      </c>
      <c r="I10" s="107" t="s">
        <v>998</v>
      </c>
      <c r="J10" s="107" t="s">
        <v>998</v>
      </c>
      <c r="K10" s="228" t="s">
        <v>788</v>
      </c>
      <c r="L10" s="375" t="s">
        <v>1000</v>
      </c>
      <c r="M10" s="228" t="s">
        <v>999</v>
      </c>
      <c r="N10" s="376" t="s">
        <v>397</v>
      </c>
      <c r="O10" s="374" t="s">
        <v>397</v>
      </c>
      <c r="P10" s="374" t="s">
        <v>1001</v>
      </c>
    </row>
    <row r="11" spans="1:19" s="39" customFormat="1" ht="16.5" customHeight="1">
      <c r="A11" s="82"/>
      <c r="B11" s="74"/>
      <c r="C11" s="374"/>
      <c r="D11" s="107" t="s">
        <v>1002</v>
      </c>
      <c r="E11" s="107" t="s">
        <v>1003</v>
      </c>
      <c r="F11" s="107" t="s">
        <v>1004</v>
      </c>
      <c r="G11" s="228"/>
      <c r="H11" s="228"/>
      <c r="I11" s="107" t="s">
        <v>1002</v>
      </c>
      <c r="J11" s="107" t="s">
        <v>1003</v>
      </c>
      <c r="K11" s="75"/>
      <c r="L11" s="375" t="s">
        <v>1005</v>
      </c>
      <c r="M11" s="228"/>
      <c r="N11" s="377"/>
      <c r="O11" s="228" t="s">
        <v>375</v>
      </c>
      <c r="P11" s="228" t="s">
        <v>740</v>
      </c>
    </row>
    <row r="12" spans="1:19" s="39" customFormat="1" ht="16.5" customHeight="1">
      <c r="A12" s="87"/>
      <c r="B12" s="98"/>
      <c r="C12" s="378"/>
      <c r="D12" s="139" t="s">
        <v>786</v>
      </c>
      <c r="E12" s="379" t="s">
        <v>414</v>
      </c>
      <c r="F12" s="139"/>
      <c r="G12" s="138"/>
      <c r="H12" s="138"/>
      <c r="I12" s="139"/>
      <c r="J12" s="379" t="s">
        <v>414</v>
      </c>
      <c r="K12" s="130"/>
      <c r="L12" s="139"/>
      <c r="M12" s="138"/>
      <c r="N12" s="230"/>
      <c r="O12" s="138" t="s">
        <v>785</v>
      </c>
      <c r="P12" s="138" t="s">
        <v>1006</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58" customFormat="1" ht="14.25" customHeight="1">
      <c r="A16" s="405">
        <v>2018</v>
      </c>
      <c r="B16" s="1148"/>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58" customFormat="1" ht="14.25" customHeight="1">
      <c r="A17" s="405">
        <v>2019</v>
      </c>
      <c r="B17" s="1148"/>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58" customFormat="1" ht="14.25" customHeight="1">
      <c r="A18" s="405">
        <v>2020</v>
      </c>
      <c r="B18" s="1148"/>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58" customFormat="1" ht="14.25" customHeight="1">
      <c r="A19" s="405">
        <v>2021</v>
      </c>
      <c r="B19" s="1148"/>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58" customFormat="1" ht="14.25" customHeight="1">
      <c r="A20" s="405">
        <v>2022</v>
      </c>
      <c r="B20" s="1148"/>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58" customFormat="1" ht="14.25" customHeight="1">
      <c r="A21" s="405">
        <v>2023</v>
      </c>
      <c r="B21" s="1148"/>
      <c r="C21" s="820">
        <f t="shared" ref="C21:P21" si="0">C26</f>
        <v>13.545799190898997</v>
      </c>
      <c r="D21" s="820">
        <f t="shared" si="0"/>
        <v>554.87390134701627</v>
      </c>
      <c r="E21" s="820">
        <f t="shared" si="0"/>
        <v>2013.2661118929429</v>
      </c>
      <c r="F21" s="820">
        <f t="shared" si="0"/>
        <v>666.66359432526997</v>
      </c>
      <c r="G21" s="820">
        <f t="shared" si="0"/>
        <v>158.53581192627917</v>
      </c>
      <c r="H21" s="820">
        <f t="shared" si="0"/>
        <v>3406.885218682407</v>
      </c>
      <c r="I21" s="820">
        <f t="shared" si="0"/>
        <v>787.34084128010807</v>
      </c>
      <c r="J21" s="820">
        <f t="shared" si="0"/>
        <v>1325.5669674364399</v>
      </c>
      <c r="K21" s="820">
        <f t="shared" si="0"/>
        <v>2604.5023685434971</v>
      </c>
      <c r="L21" s="820">
        <f t="shared" si="0"/>
        <v>286.56707653629667</v>
      </c>
      <c r="M21" s="820">
        <f t="shared" si="0"/>
        <v>162.73571000570161</v>
      </c>
      <c r="N21" s="820">
        <f t="shared" si="0"/>
        <v>5166.7129638020433</v>
      </c>
      <c r="O21" s="820">
        <f t="shared" si="0"/>
        <v>8573.5981824844512</v>
      </c>
      <c r="P21" s="799">
        <f t="shared" si="0"/>
        <v>0</v>
      </c>
      <c r="Q21" s="321"/>
      <c r="R21" s="321"/>
      <c r="S21" s="321"/>
    </row>
    <row r="22" spans="1:19" s="1058" customFormat="1" ht="14.25" customHeight="1">
      <c r="A22" s="732">
        <v>2024</v>
      </c>
      <c r="B22" s="1043"/>
      <c r="C22" s="1213">
        <f t="shared" ref="C22:P22" si="1">C30</f>
        <v>0</v>
      </c>
      <c r="D22" s="1213">
        <f t="shared" si="1"/>
        <v>0</v>
      </c>
      <c r="E22" s="1330">
        <f t="shared" si="1"/>
        <v>609.99869317155117</v>
      </c>
      <c r="F22" s="1213">
        <f t="shared" si="1"/>
        <v>33.97</v>
      </c>
      <c r="G22" s="1213">
        <f t="shared" si="1"/>
        <v>57.193427390225168</v>
      </c>
      <c r="H22" s="1213">
        <f t="shared" si="1"/>
        <v>701.16212056177631</v>
      </c>
      <c r="I22" s="1213">
        <f t="shared" si="1"/>
        <v>0</v>
      </c>
      <c r="J22" s="1213">
        <f t="shared" si="1"/>
        <v>1.4784E-2</v>
      </c>
      <c r="K22" s="1213">
        <f t="shared" si="1"/>
        <v>0</v>
      </c>
      <c r="L22" s="1213">
        <f t="shared" si="1"/>
        <v>0</v>
      </c>
      <c r="M22" s="1213">
        <f t="shared" si="1"/>
        <v>-5.6547999999999378E-5</v>
      </c>
      <c r="N22" s="1213">
        <f t="shared" si="1"/>
        <v>1.4727452E-2</v>
      </c>
      <c r="O22" s="1213">
        <f t="shared" si="1"/>
        <v>701.17684801377629</v>
      </c>
      <c r="P22" s="1053">
        <f t="shared" si="1"/>
        <v>0</v>
      </c>
      <c r="Q22" s="321"/>
      <c r="R22" s="321"/>
      <c r="S22" s="321"/>
    </row>
    <row r="23" spans="1:19" s="1058" customFormat="1" ht="21" customHeight="1">
      <c r="A23" s="405">
        <v>2023</v>
      </c>
      <c r="B23" s="771" t="s">
        <v>243</v>
      </c>
      <c r="C23" s="820">
        <v>0.80636255000000012</v>
      </c>
      <c r="D23" s="820">
        <v>68.951082514410004</v>
      </c>
      <c r="E23" s="820">
        <v>1031.7068385445937</v>
      </c>
      <c r="F23" s="820">
        <v>547.68169341400994</v>
      </c>
      <c r="G23" s="820">
        <v>5.5084851379248807</v>
      </c>
      <c r="H23" s="820">
        <v>1654.6544621609385</v>
      </c>
      <c r="I23" s="820">
        <v>85.982769104109281</v>
      </c>
      <c r="J23" s="820">
        <v>194.60232869491426</v>
      </c>
      <c r="K23" s="1841">
        <v>1888.5244930348849</v>
      </c>
      <c r="L23" s="820">
        <v>0</v>
      </c>
      <c r="M23" s="821">
        <v>2.831645375129999</v>
      </c>
      <c r="N23" s="1842">
        <v>2171.9412362090388</v>
      </c>
      <c r="O23" s="795">
        <v>3826.5956983699771</v>
      </c>
      <c r="P23" s="799">
        <v>0</v>
      </c>
      <c r="Q23" s="321"/>
      <c r="R23" s="321"/>
      <c r="S23" s="321"/>
    </row>
    <row r="24" spans="1:19" s="1058" customFormat="1" ht="15">
      <c r="A24" s="405"/>
      <c r="B24" s="771" t="s">
        <v>244</v>
      </c>
      <c r="C24" s="820">
        <v>0.85223745499999981</v>
      </c>
      <c r="D24" s="820">
        <v>193.30744476272633</v>
      </c>
      <c r="E24" s="820">
        <v>1055.5091308292297</v>
      </c>
      <c r="F24" s="820">
        <v>439.36529330381006</v>
      </c>
      <c r="G24" s="820">
        <v>4.9449421119238348</v>
      </c>
      <c r="H24" s="820">
        <v>1693.9790484626903</v>
      </c>
      <c r="I24" s="820">
        <v>77.945970542477227</v>
      </c>
      <c r="J24" s="820">
        <v>754.87822711099227</v>
      </c>
      <c r="K24" s="1841">
        <v>2167.0938809445706</v>
      </c>
      <c r="L24" s="820">
        <v>0</v>
      </c>
      <c r="M24" s="821">
        <v>2.0200824590699997</v>
      </c>
      <c r="N24" s="1842">
        <v>3001.9381610571099</v>
      </c>
      <c r="O24" s="795">
        <v>4695.9172095198001</v>
      </c>
      <c r="P24" s="799">
        <v>0</v>
      </c>
      <c r="Q24" s="321"/>
      <c r="R24" s="321"/>
      <c r="S24" s="321"/>
    </row>
    <row r="25" spans="1:19" s="1058" customFormat="1" ht="15">
      <c r="A25" s="405"/>
      <c r="B25" s="771" t="s">
        <v>245</v>
      </c>
      <c r="C25" s="820">
        <v>0.80420550999999996</v>
      </c>
      <c r="D25" s="820">
        <v>3.3060765679999995</v>
      </c>
      <c r="E25" s="820">
        <v>1404.2596351297434</v>
      </c>
      <c r="F25" s="820">
        <v>489.69769806893999</v>
      </c>
      <c r="G25" s="820">
        <v>118.1258010057623</v>
      </c>
      <c r="H25" s="820">
        <v>2016.1934162824459</v>
      </c>
      <c r="I25" s="820">
        <v>437.1361358381817</v>
      </c>
      <c r="J25" s="820">
        <v>1163.6877401045585</v>
      </c>
      <c r="K25" s="1841">
        <v>2309.9034091500762</v>
      </c>
      <c r="L25" s="820">
        <v>0</v>
      </c>
      <c r="M25" s="821">
        <v>1.0630492184539999</v>
      </c>
      <c r="N25" s="1842">
        <v>3911.7903343112698</v>
      </c>
      <c r="O25" s="795">
        <v>5927.9837505937176</v>
      </c>
      <c r="P25" s="799">
        <v>32.062349648353482</v>
      </c>
      <c r="Q25" s="321"/>
      <c r="R25" s="321"/>
      <c r="S25" s="321"/>
    </row>
    <row r="26" spans="1:19" s="1058" customFormat="1" ht="15">
      <c r="A26" s="405"/>
      <c r="B26" s="771" t="s">
        <v>242</v>
      </c>
      <c r="C26" s="820">
        <v>13.545799190898997</v>
      </c>
      <c r="D26" s="820">
        <v>554.87390134701627</v>
      </c>
      <c r="E26" s="820">
        <v>2013.2661118929429</v>
      </c>
      <c r="F26" s="820">
        <v>666.66359432526997</v>
      </c>
      <c r="G26" s="820">
        <v>158.53581192627917</v>
      </c>
      <c r="H26" s="820">
        <v>3406.885218682407</v>
      </c>
      <c r="I26" s="820">
        <v>787.34084128010807</v>
      </c>
      <c r="J26" s="820">
        <v>1325.5669674364399</v>
      </c>
      <c r="K26" s="820">
        <v>2604.5023685434971</v>
      </c>
      <c r="L26" s="820">
        <v>286.56707653629667</v>
      </c>
      <c r="M26" s="820">
        <v>162.73571000570161</v>
      </c>
      <c r="N26" s="820">
        <v>5166.7129638020433</v>
      </c>
      <c r="O26" s="820">
        <v>8573.5981824844512</v>
      </c>
      <c r="P26" s="799">
        <v>0</v>
      </c>
      <c r="Q26" s="321"/>
      <c r="R26" s="321"/>
      <c r="S26" s="321"/>
    </row>
    <row r="27" spans="1:19" s="1058" customFormat="1" ht="21" customHeight="1">
      <c r="A27" s="405">
        <v>2024</v>
      </c>
      <c r="B27" s="771" t="s">
        <v>243</v>
      </c>
      <c r="C27" s="820">
        <v>0</v>
      </c>
      <c r="D27" s="820">
        <v>2</v>
      </c>
      <c r="E27" s="820">
        <v>518.81323380847334</v>
      </c>
      <c r="F27" s="820">
        <v>45.12</v>
      </c>
      <c r="G27" s="820">
        <v>46.66482647620596</v>
      </c>
      <c r="H27" s="820">
        <v>612.5680602846794</v>
      </c>
      <c r="I27" s="820">
        <v>0</v>
      </c>
      <c r="J27" s="820">
        <v>20.744</v>
      </c>
      <c r="K27" s="820">
        <v>0</v>
      </c>
      <c r="L27" s="820">
        <v>0</v>
      </c>
      <c r="M27" s="820">
        <v>0</v>
      </c>
      <c r="N27" s="1842">
        <v>20.743972643359999</v>
      </c>
      <c r="O27" s="795">
        <v>633.31203292803934</v>
      </c>
      <c r="P27" s="799">
        <v>0</v>
      </c>
      <c r="Q27" s="321"/>
      <c r="R27" s="321"/>
      <c r="S27" s="321"/>
    </row>
    <row r="28" spans="1:19" s="1058" customFormat="1" ht="15" customHeight="1">
      <c r="A28" s="405"/>
      <c r="B28" s="771" t="s">
        <v>244</v>
      </c>
      <c r="C28" s="820">
        <f t="shared" ref="C28:P28" si="2">C37</f>
        <v>0</v>
      </c>
      <c r="D28" s="820">
        <f t="shared" si="2"/>
        <v>0</v>
      </c>
      <c r="E28" s="820">
        <f t="shared" si="2"/>
        <v>542.40628884277726</v>
      </c>
      <c r="F28" s="820">
        <f t="shared" si="2"/>
        <v>41.86</v>
      </c>
      <c r="G28" s="820">
        <f t="shared" si="2"/>
        <v>35.826026766687335</v>
      </c>
      <c r="H28" s="820">
        <f t="shared" si="2"/>
        <v>620.09231560946466</v>
      </c>
      <c r="I28" s="820">
        <f t="shared" si="2"/>
        <v>0</v>
      </c>
      <c r="J28" s="820">
        <f t="shared" si="2"/>
        <v>12.593</v>
      </c>
      <c r="K28" s="820">
        <f t="shared" si="2"/>
        <v>0</v>
      </c>
      <c r="L28" s="820">
        <f t="shared" si="2"/>
        <v>0</v>
      </c>
      <c r="M28" s="820">
        <f t="shared" si="2"/>
        <v>0</v>
      </c>
      <c r="N28" s="820">
        <f t="shared" si="2"/>
        <v>12.593</v>
      </c>
      <c r="O28" s="795">
        <f t="shared" si="2"/>
        <v>632.68531560946462</v>
      </c>
      <c r="P28" s="799">
        <f t="shared" si="2"/>
        <v>0</v>
      </c>
      <c r="Q28" s="321"/>
      <c r="R28" s="321"/>
      <c r="S28" s="321"/>
    </row>
    <row r="29" spans="1:19" s="1058" customFormat="1" ht="15" customHeight="1">
      <c r="A29" s="405"/>
      <c r="B29" s="771" t="s">
        <v>245</v>
      </c>
      <c r="C29" s="820">
        <f t="shared" ref="C29:P29" si="3">C40</f>
        <v>0</v>
      </c>
      <c r="D29" s="820">
        <f t="shared" si="3"/>
        <v>0</v>
      </c>
      <c r="E29" s="820">
        <f t="shared" si="3"/>
        <v>561.93579369947543</v>
      </c>
      <c r="F29" s="820">
        <f t="shared" si="3"/>
        <v>39.4</v>
      </c>
      <c r="G29" s="820">
        <f t="shared" si="3"/>
        <v>94.169193339999993</v>
      </c>
      <c r="H29" s="820">
        <f t="shared" si="3"/>
        <v>695.51051969400771</v>
      </c>
      <c r="I29" s="820">
        <f t="shared" si="3"/>
        <v>0</v>
      </c>
      <c r="J29" s="820">
        <f t="shared" si="3"/>
        <v>4.9394791250000001</v>
      </c>
      <c r="K29" s="820">
        <f t="shared" si="3"/>
        <v>0</v>
      </c>
      <c r="L29" s="820">
        <f t="shared" si="3"/>
        <v>0</v>
      </c>
      <c r="M29" s="820">
        <f t="shared" si="3"/>
        <v>0</v>
      </c>
      <c r="N29" s="1842">
        <f t="shared" si="3"/>
        <v>4.9394584027599997</v>
      </c>
      <c r="O29" s="795">
        <f t="shared" si="3"/>
        <v>700.44997809676761</v>
      </c>
      <c r="P29" s="799">
        <f t="shared" si="3"/>
        <v>0</v>
      </c>
      <c r="Q29" s="321"/>
      <c r="R29" s="321"/>
      <c r="S29" s="321"/>
    </row>
    <row r="30" spans="1:19" s="1058" customFormat="1" ht="15" customHeight="1">
      <c r="A30" s="732"/>
      <c r="B30" s="1025" t="s">
        <v>242</v>
      </c>
      <c r="C30" s="1213">
        <f t="shared" ref="C30:P30" si="4">C43</f>
        <v>0</v>
      </c>
      <c r="D30" s="1213">
        <f t="shared" si="4"/>
        <v>0</v>
      </c>
      <c r="E30" s="1213">
        <f t="shared" si="4"/>
        <v>609.99869317155117</v>
      </c>
      <c r="F30" s="1213">
        <f t="shared" si="4"/>
        <v>33.97</v>
      </c>
      <c r="G30" s="1213">
        <f t="shared" si="4"/>
        <v>57.193427390225168</v>
      </c>
      <c r="H30" s="1213">
        <f t="shared" si="4"/>
        <v>701.16212056177631</v>
      </c>
      <c r="I30" s="1213">
        <f t="shared" si="4"/>
        <v>0</v>
      </c>
      <c r="J30" s="1213">
        <f t="shared" si="4"/>
        <v>1.4784E-2</v>
      </c>
      <c r="K30" s="1213">
        <f t="shared" si="4"/>
        <v>0</v>
      </c>
      <c r="L30" s="1213">
        <f t="shared" si="4"/>
        <v>0</v>
      </c>
      <c r="M30" s="1213">
        <f t="shared" si="4"/>
        <v>-5.6547999999999378E-5</v>
      </c>
      <c r="N30" s="1843">
        <f t="shared" si="4"/>
        <v>1.4727452E-2</v>
      </c>
      <c r="O30" s="1057">
        <f t="shared" si="4"/>
        <v>701.17684801377629</v>
      </c>
      <c r="P30" s="1053">
        <f t="shared" si="4"/>
        <v>0</v>
      </c>
      <c r="Q30" s="321"/>
      <c r="R30" s="321"/>
      <c r="S30" s="321"/>
    </row>
    <row r="31" spans="1:19" s="321" customFormat="1" ht="21" customHeight="1">
      <c r="A31" s="770">
        <v>2023</v>
      </c>
      <c r="B31" s="771" t="s">
        <v>426</v>
      </c>
      <c r="C31" s="820">
        <v>13.545799190898997</v>
      </c>
      <c r="D31" s="820">
        <v>554.87390134701627</v>
      </c>
      <c r="E31" s="820">
        <v>2013.2661118929429</v>
      </c>
      <c r="F31" s="820">
        <v>666.66359432526997</v>
      </c>
      <c r="G31" s="820">
        <v>158.53581192627917</v>
      </c>
      <c r="H31" s="820">
        <v>3406.885218682407</v>
      </c>
      <c r="I31" s="820">
        <v>787.34084128010807</v>
      </c>
      <c r="J31" s="820">
        <v>1325.5669674364399</v>
      </c>
      <c r="K31" s="820">
        <v>2604.5023685434971</v>
      </c>
      <c r="L31" s="820">
        <v>286.56707653629667</v>
      </c>
      <c r="M31" s="820">
        <v>162.73571000570161</v>
      </c>
      <c r="N31" s="820">
        <v>5166.7129638020433</v>
      </c>
      <c r="O31" s="820">
        <v>8573.5981824844512</v>
      </c>
      <c r="P31" s="799">
        <v>0</v>
      </c>
      <c r="Q31" s="793"/>
      <c r="R31" s="793"/>
      <c r="S31" s="793"/>
    </row>
    <row r="32" spans="1:19" s="321" customFormat="1" ht="21" customHeight="1">
      <c r="A32" s="770">
        <v>2024</v>
      </c>
      <c r="B32" s="771" t="s">
        <v>427</v>
      </c>
      <c r="C32" s="820">
        <v>0</v>
      </c>
      <c r="D32" s="820">
        <v>0</v>
      </c>
      <c r="E32" s="820">
        <v>510.23453700429945</v>
      </c>
      <c r="F32" s="820">
        <v>43.84</v>
      </c>
      <c r="G32" s="820">
        <v>34.072521163901023</v>
      </c>
      <c r="H32" s="820">
        <v>588.14705816820049</v>
      </c>
      <c r="I32" s="820">
        <v>0</v>
      </c>
      <c r="J32" s="820">
        <v>20.768231903</v>
      </c>
      <c r="K32" s="820">
        <v>0</v>
      </c>
      <c r="L32" s="820">
        <v>0</v>
      </c>
      <c r="M32" s="820">
        <v>0</v>
      </c>
      <c r="N32" s="820">
        <v>20.768231903</v>
      </c>
      <c r="O32" s="820">
        <v>608.9152900712005</v>
      </c>
      <c r="P32" s="799">
        <v>0</v>
      </c>
      <c r="Q32" s="793"/>
      <c r="R32" s="793"/>
      <c r="S32" s="793"/>
    </row>
    <row r="33" spans="1:19" s="321" customFormat="1" ht="16.5" customHeight="1">
      <c r="A33" s="770"/>
      <c r="B33" s="771" t="s">
        <v>416</v>
      </c>
      <c r="C33" s="820">
        <v>0</v>
      </c>
      <c r="D33" s="820">
        <v>0</v>
      </c>
      <c r="E33" s="820">
        <v>518.53171758324038</v>
      </c>
      <c r="F33" s="820">
        <v>44.540000000000006</v>
      </c>
      <c r="G33" s="820">
        <v>37.960261877551474</v>
      </c>
      <c r="H33" s="820">
        <v>601.04197946079182</v>
      </c>
      <c r="I33" s="820">
        <v>0</v>
      </c>
      <c r="J33" s="820">
        <v>20.773964953</v>
      </c>
      <c r="K33" s="820">
        <v>0</v>
      </c>
      <c r="L33" s="820">
        <v>0</v>
      </c>
      <c r="M33" s="820">
        <v>0</v>
      </c>
      <c r="N33" s="820">
        <v>20.773964953</v>
      </c>
      <c r="O33" s="820">
        <v>621.81594441379195</v>
      </c>
      <c r="P33" s="799">
        <v>0</v>
      </c>
      <c r="Q33" s="793"/>
      <c r="R33" s="793"/>
      <c r="S33" s="793"/>
    </row>
    <row r="34" spans="1:19" s="321" customFormat="1" ht="16.5" customHeight="1">
      <c r="A34" s="770"/>
      <c r="B34" s="771" t="s">
        <v>417</v>
      </c>
      <c r="C34" s="820">
        <v>0</v>
      </c>
      <c r="D34" s="820">
        <v>2</v>
      </c>
      <c r="E34" s="820">
        <v>518.81323380847334</v>
      </c>
      <c r="F34" s="820">
        <v>45.12</v>
      </c>
      <c r="G34" s="820">
        <v>46.66482647620596</v>
      </c>
      <c r="H34" s="820">
        <v>612.5680602846794</v>
      </c>
      <c r="I34" s="820">
        <v>0</v>
      </c>
      <c r="J34" s="820">
        <v>20.744</v>
      </c>
      <c r="K34" s="820">
        <v>0</v>
      </c>
      <c r="L34" s="820">
        <v>0</v>
      </c>
      <c r="M34" s="820">
        <v>-2.7356640000000709E-5</v>
      </c>
      <c r="N34" s="820">
        <v>20.743972643359999</v>
      </c>
      <c r="O34" s="820">
        <v>633.31203292803934</v>
      </c>
      <c r="P34" s="799">
        <v>0</v>
      </c>
      <c r="Q34" s="793"/>
      <c r="R34" s="793"/>
      <c r="S34" s="793"/>
    </row>
    <row r="35" spans="1:19" s="321" customFormat="1" ht="16.5" customHeight="1">
      <c r="A35" s="770"/>
      <c r="B35" s="771" t="s">
        <v>418</v>
      </c>
      <c r="C35" s="820">
        <v>0</v>
      </c>
      <c r="D35" s="820">
        <v>4</v>
      </c>
      <c r="E35" s="820">
        <v>524.91223933346737</v>
      </c>
      <c r="F35" s="820">
        <v>45.019999999999996</v>
      </c>
      <c r="G35" s="820">
        <v>23.291261015628361</v>
      </c>
      <c r="H35" s="820">
        <v>597.22350034909573</v>
      </c>
      <c r="I35" s="820">
        <v>0</v>
      </c>
      <c r="J35" s="820">
        <v>20.709128853000003</v>
      </c>
      <c r="K35" s="820">
        <v>0</v>
      </c>
      <c r="L35" s="820">
        <v>0</v>
      </c>
      <c r="M35" s="820">
        <v>0</v>
      </c>
      <c r="N35" s="820">
        <v>20.709128853000003</v>
      </c>
      <c r="O35" s="820">
        <v>617.93262920209577</v>
      </c>
      <c r="P35" s="799">
        <v>0</v>
      </c>
      <c r="Q35" s="793"/>
      <c r="R35" s="793"/>
      <c r="S35" s="793"/>
    </row>
    <row r="36" spans="1:19" s="321" customFormat="1" ht="16.5" customHeight="1">
      <c r="A36" s="770"/>
      <c r="B36" s="771" t="s">
        <v>419</v>
      </c>
      <c r="C36" s="820">
        <v>0</v>
      </c>
      <c r="D36" s="820">
        <v>0</v>
      </c>
      <c r="E36" s="820">
        <v>534.60411614018585</v>
      </c>
      <c r="F36" s="820">
        <v>41.35</v>
      </c>
      <c r="G36" s="820">
        <v>31.139450059855402</v>
      </c>
      <c r="H36" s="820">
        <v>607.09356620004121</v>
      </c>
      <c r="I36" s="820">
        <v>0</v>
      </c>
      <c r="J36" s="820">
        <v>17.751750900000001</v>
      </c>
      <c r="K36" s="820">
        <v>0</v>
      </c>
      <c r="L36" s="820">
        <v>0</v>
      </c>
      <c r="M36" s="820">
        <v>-2.4039440000002797E-5</v>
      </c>
      <c r="N36" s="820">
        <v>17.751726860559998</v>
      </c>
      <c r="O36" s="820">
        <v>624.85529306060118</v>
      </c>
      <c r="P36" s="799">
        <v>0</v>
      </c>
      <c r="Q36" s="793"/>
      <c r="R36" s="793"/>
      <c r="S36" s="793"/>
    </row>
    <row r="37" spans="1:19" s="321" customFormat="1" ht="16.5" customHeight="1">
      <c r="A37" s="770"/>
      <c r="B37" s="771" t="s">
        <v>420</v>
      </c>
      <c r="C37" s="820">
        <v>0</v>
      </c>
      <c r="D37" s="820">
        <v>0</v>
      </c>
      <c r="E37" s="820">
        <v>542.40628884277726</v>
      </c>
      <c r="F37" s="820">
        <v>41.86</v>
      </c>
      <c r="G37" s="820">
        <v>35.826026766687335</v>
      </c>
      <c r="H37" s="820">
        <v>620.09231560946466</v>
      </c>
      <c r="I37" s="820">
        <v>0</v>
      </c>
      <c r="J37" s="820">
        <v>12.593</v>
      </c>
      <c r="K37" s="820">
        <v>0</v>
      </c>
      <c r="L37" s="820">
        <v>0</v>
      </c>
      <c r="M37" s="820">
        <v>0</v>
      </c>
      <c r="N37" s="820">
        <v>12.593</v>
      </c>
      <c r="O37" s="820">
        <v>632.68531560946462</v>
      </c>
      <c r="P37" s="799">
        <v>0</v>
      </c>
      <c r="Q37" s="793"/>
      <c r="R37" s="793"/>
      <c r="S37" s="793"/>
    </row>
    <row r="38" spans="1:19" s="321" customFormat="1" ht="16.5" customHeight="1">
      <c r="A38" s="770"/>
      <c r="B38" s="771" t="s">
        <v>421</v>
      </c>
      <c r="C38" s="820">
        <v>0</v>
      </c>
      <c r="D38" s="820">
        <v>0</v>
      </c>
      <c r="E38" s="820">
        <v>549.27735629537926</v>
      </c>
      <c r="F38" s="820">
        <v>41.839999999999996</v>
      </c>
      <c r="G38" s="820">
        <v>77.967442269787512</v>
      </c>
      <c r="H38" s="820">
        <v>669.10479856516679</v>
      </c>
      <c r="I38" s="820">
        <v>0</v>
      </c>
      <c r="J38" s="820">
        <v>9.6581609000000004</v>
      </c>
      <c r="K38" s="820">
        <v>0</v>
      </c>
      <c r="L38" s="820">
        <v>0</v>
      </c>
      <c r="M38" s="820">
        <v>-1.5414720000002546E-5</v>
      </c>
      <c r="N38" s="820">
        <v>9.6581454852800004</v>
      </c>
      <c r="O38" s="820">
        <v>678.76294405044678</v>
      </c>
      <c r="P38" s="799">
        <v>0</v>
      </c>
      <c r="Q38" s="793"/>
      <c r="R38" s="793"/>
      <c r="S38" s="793"/>
    </row>
    <row r="39" spans="1:19" s="321" customFormat="1" ht="16.5" customHeight="1">
      <c r="A39" s="770"/>
      <c r="B39" s="771" t="s">
        <v>422</v>
      </c>
      <c r="C39" s="820">
        <v>0</v>
      </c>
      <c r="D39" s="820">
        <v>0</v>
      </c>
      <c r="E39" s="820">
        <v>557.56328156718041</v>
      </c>
      <c r="F39" s="820">
        <v>38.840000000000003</v>
      </c>
      <c r="G39" s="820">
        <v>102.73205526011159</v>
      </c>
      <c r="H39" s="820">
        <v>699.11533682729191</v>
      </c>
      <c r="I39" s="820">
        <v>0</v>
      </c>
      <c r="J39" s="820">
        <v>6.8729999999999993</v>
      </c>
      <c r="K39" s="820">
        <v>0</v>
      </c>
      <c r="L39" s="820">
        <v>0</v>
      </c>
      <c r="M39" s="820">
        <v>-1.5414720000002546E-5</v>
      </c>
      <c r="N39" s="820">
        <v>6.8729845852799993</v>
      </c>
      <c r="O39" s="820">
        <v>705.98832141257196</v>
      </c>
      <c r="P39" s="799">
        <v>0</v>
      </c>
      <c r="Q39" s="793"/>
      <c r="R39" s="793"/>
      <c r="S39" s="793"/>
    </row>
    <row r="40" spans="1:19" s="321" customFormat="1" ht="16.5" customHeight="1">
      <c r="A40" s="770"/>
      <c r="B40" s="771" t="s">
        <v>423</v>
      </c>
      <c r="C40" s="820">
        <v>0</v>
      </c>
      <c r="D40" s="820">
        <v>0</v>
      </c>
      <c r="E40" s="820">
        <v>561.93579369947543</v>
      </c>
      <c r="F40" s="820">
        <v>39.4</v>
      </c>
      <c r="G40" s="820">
        <v>94.169193339999993</v>
      </c>
      <c r="H40" s="820">
        <v>695.51051969400771</v>
      </c>
      <c r="I40" s="820">
        <v>0</v>
      </c>
      <c r="J40" s="820">
        <v>4.9394791250000001</v>
      </c>
      <c r="K40" s="820">
        <v>0</v>
      </c>
      <c r="L40" s="820">
        <v>0</v>
      </c>
      <c r="M40" s="820">
        <v>0</v>
      </c>
      <c r="N40" s="820">
        <v>4.9394584027599997</v>
      </c>
      <c r="O40" s="820">
        <v>700.44997809676761</v>
      </c>
      <c r="P40" s="799">
        <v>0</v>
      </c>
      <c r="Q40" s="793"/>
      <c r="R40" s="793"/>
      <c r="S40" s="793"/>
    </row>
    <row r="41" spans="1:19" s="321" customFormat="1" ht="16.5" customHeight="1">
      <c r="A41" s="770"/>
      <c r="B41" s="771" t="s">
        <v>424</v>
      </c>
      <c r="C41" s="820">
        <v>0</v>
      </c>
      <c r="D41" s="820">
        <v>0</v>
      </c>
      <c r="E41" s="820">
        <v>572.26757305184117</v>
      </c>
      <c r="F41" s="820">
        <v>39.4</v>
      </c>
      <c r="G41" s="820">
        <v>98.540748801626208</v>
      </c>
      <c r="H41" s="820">
        <v>710.22832185346738</v>
      </c>
      <c r="I41" s="820">
        <v>0</v>
      </c>
      <c r="J41" s="820">
        <v>0.108332</v>
      </c>
      <c r="K41" s="820">
        <v>0</v>
      </c>
      <c r="L41" s="820">
        <v>0</v>
      </c>
      <c r="M41" s="820">
        <v>-2.4702879999999538E-5</v>
      </c>
      <c r="N41" s="820">
        <v>0.10830729711999999</v>
      </c>
      <c r="O41" s="820">
        <v>710.33662915058744</v>
      </c>
      <c r="P41" s="799">
        <v>0</v>
      </c>
      <c r="Q41" s="793"/>
      <c r="R41" s="793"/>
      <c r="S41" s="793"/>
    </row>
    <row r="42" spans="1:19" s="321" customFormat="1" ht="16.5" customHeight="1">
      <c r="A42" s="770"/>
      <c r="B42" s="771" t="s">
        <v>425</v>
      </c>
      <c r="C42" s="820">
        <v>0</v>
      </c>
      <c r="D42" s="820">
        <v>0</v>
      </c>
      <c r="E42" s="820">
        <v>576.28506309010754</v>
      </c>
      <c r="F42" s="820">
        <v>39.4</v>
      </c>
      <c r="G42" s="820">
        <v>93.968825608688917</v>
      </c>
      <c r="H42" s="820">
        <v>709.65388869879655</v>
      </c>
      <c r="I42" s="820">
        <v>0</v>
      </c>
      <c r="J42" s="820">
        <v>0.104238</v>
      </c>
      <c r="K42" s="820">
        <v>0</v>
      </c>
      <c r="L42" s="820">
        <v>0</v>
      </c>
      <c r="M42" s="820">
        <v>-2.6693200000003968E-5</v>
      </c>
      <c r="N42" s="820">
        <v>0.10421130679999999</v>
      </c>
      <c r="O42" s="820">
        <v>709.75810000559648</v>
      </c>
      <c r="P42" s="799">
        <v>0</v>
      </c>
      <c r="Q42" s="793"/>
      <c r="R42" s="793"/>
      <c r="S42" s="793"/>
    </row>
    <row r="43" spans="1:19" s="321" customFormat="1" ht="16.5" customHeight="1">
      <c r="A43" s="770"/>
      <c r="B43" s="771" t="s">
        <v>426</v>
      </c>
      <c r="C43" s="820">
        <v>0</v>
      </c>
      <c r="D43" s="820">
        <v>0</v>
      </c>
      <c r="E43" s="820">
        <v>609.99869317155117</v>
      </c>
      <c r="F43" s="820">
        <v>33.97</v>
      </c>
      <c r="G43" s="820">
        <v>57.193427390225168</v>
      </c>
      <c r="H43" s="820">
        <v>701.16212056177631</v>
      </c>
      <c r="I43" s="820">
        <v>0</v>
      </c>
      <c r="J43" s="820">
        <v>1.4784E-2</v>
      </c>
      <c r="K43" s="820">
        <v>0</v>
      </c>
      <c r="L43" s="820">
        <v>0</v>
      </c>
      <c r="M43" s="820">
        <v>-5.6547999999999378E-5</v>
      </c>
      <c r="N43" s="820">
        <v>1.4727452E-2</v>
      </c>
      <c r="O43" s="820">
        <v>701.17684801377629</v>
      </c>
      <c r="P43" s="799">
        <v>0</v>
      </c>
      <c r="Q43" s="793"/>
      <c r="R43" s="793"/>
      <c r="S43" s="793"/>
    </row>
    <row r="44" spans="1:19" ht="19.5" customHeight="1">
      <c r="A44" s="380" t="s">
        <v>1007</v>
      </c>
      <c r="B44" s="220"/>
      <c r="C44" s="220"/>
      <c r="D44" s="220"/>
      <c r="E44" s="220"/>
      <c r="F44" s="220"/>
      <c r="G44" s="220"/>
      <c r="H44" s="1844"/>
      <c r="I44" s="220"/>
      <c r="J44" s="220"/>
      <c r="K44" s="220"/>
      <c r="L44" s="220"/>
      <c r="M44" s="220"/>
      <c r="N44" s="220"/>
      <c r="O44" s="745"/>
      <c r="P44" s="745" t="s">
        <v>1008</v>
      </c>
    </row>
    <row r="45" spans="1:19">
      <c r="A45" s="381" t="s">
        <v>1009</v>
      </c>
      <c r="O45" s="755"/>
      <c r="P45" s="755" t="s">
        <v>1010</v>
      </c>
    </row>
    <row r="46" spans="1:19">
      <c r="A46" s="381" t="s">
        <v>1011</v>
      </c>
      <c r="O46" s="755"/>
      <c r="P46" s="755" t="s">
        <v>1012</v>
      </c>
    </row>
    <row r="47" spans="1:19">
      <c r="A47" s="25" t="s">
        <v>1013</v>
      </c>
      <c r="P47" s="755" t="s">
        <v>1014</v>
      </c>
    </row>
    <row r="49" spans="1:16">
      <c r="A49" s="382" t="s">
        <v>1015</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B12" sqref="B12"/>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354" customFormat="1" ht="20.25" customHeight="1">
      <c r="A1" s="1352" t="s">
        <v>233</v>
      </c>
      <c r="B1" s="1353"/>
      <c r="C1" s="1353"/>
      <c r="D1" s="1353"/>
      <c r="E1" s="1353"/>
      <c r="F1" s="1353"/>
      <c r="G1" s="1353"/>
    </row>
    <row r="2" spans="1:7" s="1354" customFormat="1" ht="18">
      <c r="A2" s="1355" t="s">
        <v>234</v>
      </c>
      <c r="B2" s="1353"/>
      <c r="C2" s="1353"/>
      <c r="D2" s="1353"/>
      <c r="E2" s="1353"/>
      <c r="F2" s="1353"/>
      <c r="G2" s="1353"/>
    </row>
    <row r="4" spans="1:7" s="1354" customFormat="1" ht="18" customHeight="1">
      <c r="A4" s="1356" t="s">
        <v>235</v>
      </c>
      <c r="B4" s="1357">
        <v>2023</v>
      </c>
      <c r="C4" s="1357">
        <v>2024</v>
      </c>
      <c r="D4" s="1357"/>
      <c r="E4" s="1357"/>
      <c r="F4" s="1357"/>
      <c r="G4" s="1358" t="s">
        <v>236</v>
      </c>
    </row>
    <row r="5" spans="1:7" s="1362" customFormat="1" ht="14.85" customHeight="1">
      <c r="A5" s="1359"/>
      <c r="B5" s="1360" t="s">
        <v>237</v>
      </c>
      <c r="C5" s="1360" t="s">
        <v>237</v>
      </c>
      <c r="D5" s="1360" t="s">
        <v>237</v>
      </c>
      <c r="E5" s="1360" t="s">
        <v>237</v>
      </c>
      <c r="F5" s="1360" t="s">
        <v>237</v>
      </c>
      <c r="G5" s="1361"/>
    </row>
    <row r="6" spans="1:7" s="1362" customFormat="1" ht="14.85" customHeight="1">
      <c r="A6" s="1359"/>
      <c r="B6" s="1363" t="s">
        <v>238</v>
      </c>
      <c r="C6" s="1363" t="s">
        <v>239</v>
      </c>
      <c r="D6" s="1363" t="s">
        <v>240</v>
      </c>
      <c r="E6" s="1363" t="s">
        <v>241</v>
      </c>
      <c r="F6" s="1363" t="s">
        <v>238</v>
      </c>
      <c r="G6" s="1361"/>
    </row>
    <row r="7" spans="1:7" s="1354" customFormat="1" ht="14.85" customHeight="1">
      <c r="A7" s="1364"/>
      <c r="B7" s="1365" t="s">
        <v>242</v>
      </c>
      <c r="C7" s="1365" t="s">
        <v>243</v>
      </c>
      <c r="D7" s="1365" t="s">
        <v>244</v>
      </c>
      <c r="E7" s="1365" t="s">
        <v>245</v>
      </c>
      <c r="F7" s="1365" t="s">
        <v>242</v>
      </c>
      <c r="G7" s="1366"/>
    </row>
    <row r="8" spans="1:7" ht="20.25" customHeight="1">
      <c r="A8" s="1367" t="s">
        <v>246</v>
      </c>
      <c r="B8" s="1368"/>
      <c r="C8" s="1368"/>
      <c r="D8" s="1368"/>
      <c r="E8" s="1368"/>
      <c r="F8" s="1368"/>
      <c r="G8" s="1369" t="s">
        <v>247</v>
      </c>
    </row>
    <row r="9" spans="1:7" ht="14.25" customHeight="1">
      <c r="A9" s="1370" t="s">
        <v>248</v>
      </c>
      <c r="B9" s="684">
        <v>6035.5</v>
      </c>
      <c r="C9" s="684">
        <f>'1'!$H$34</f>
        <v>6312</v>
      </c>
      <c r="D9" s="684">
        <f>'1'!$H$37</f>
        <v>6584.7999999999993</v>
      </c>
      <c r="E9" s="684">
        <f>'1'!$H$40</f>
        <v>7103.7</v>
      </c>
      <c r="F9" s="684">
        <f>'1'!$H$43</f>
        <v>6439.9999999999991</v>
      </c>
      <c r="G9" s="1371" t="s">
        <v>249</v>
      </c>
    </row>
    <row r="10" spans="1:7" ht="20.25" customHeight="1">
      <c r="A10" s="1372" t="s">
        <v>250</v>
      </c>
      <c r="B10" s="792"/>
      <c r="C10" s="792"/>
      <c r="D10" s="792"/>
      <c r="E10" s="792"/>
      <c r="F10" s="792"/>
      <c r="G10" s="1373" t="s">
        <v>251</v>
      </c>
    </row>
    <row r="11" spans="1:7" ht="14.25" customHeight="1">
      <c r="A11" s="1374" t="s">
        <v>252</v>
      </c>
      <c r="B11" s="684">
        <v>2833.3069415379068</v>
      </c>
      <c r="C11" s="684">
        <f>'3'!$H$34</f>
        <v>2787.0662252915226</v>
      </c>
      <c r="D11" s="684">
        <f>'3'!$H$37</f>
        <v>2799.747834590969</v>
      </c>
      <c r="E11" s="684">
        <f>'3'!$H$40</f>
        <v>2901.1822988016033</v>
      </c>
      <c r="F11" s="684">
        <f>'3'!$H$43</f>
        <v>2933.5310778229168</v>
      </c>
      <c r="G11" s="1371" t="s">
        <v>253</v>
      </c>
    </row>
    <row r="12" spans="1:7" ht="14.25" customHeight="1">
      <c r="A12" s="1370" t="s">
        <v>254</v>
      </c>
      <c r="B12" s="684">
        <v>0.64111285512126037</v>
      </c>
      <c r="C12" s="684">
        <f>(C11-B11)/B11%</f>
        <v>-1.6320404813353868</v>
      </c>
      <c r="D12" s="684">
        <f>(D11-C11)/C11%</f>
        <v>0.455016432130882</v>
      </c>
      <c r="E12" s="684">
        <f>(E11-D11)/D11%</f>
        <v>3.6229857188354067</v>
      </c>
      <c r="F12" s="684">
        <f>(F11-E11)/E11%</f>
        <v>1.1150205567804494</v>
      </c>
      <c r="G12" s="1375" t="s">
        <v>1732</v>
      </c>
    </row>
    <row r="13" spans="1:7" ht="14.25" customHeight="1">
      <c r="A13" s="1374" t="s">
        <v>255</v>
      </c>
      <c r="B13" s="684">
        <v>14689.938069628366</v>
      </c>
      <c r="C13" s="684">
        <f>'3'!$I$34</f>
        <v>14398.964439335567</v>
      </c>
      <c r="D13" s="684">
        <f>'3'!$I$37</f>
        <v>14690.33660049523</v>
      </c>
      <c r="E13" s="684">
        <f>'3'!$I$40</f>
        <v>15134.332481958232</v>
      </c>
      <c r="F13" s="684">
        <f>'3'!$I$43</f>
        <v>14747.48260622369</v>
      </c>
      <c r="G13" s="1371" t="s">
        <v>256</v>
      </c>
    </row>
    <row r="14" spans="1:7" ht="14.25" customHeight="1">
      <c r="A14" s="1370" t="s">
        <v>254</v>
      </c>
      <c r="B14" s="684">
        <v>2.1733806902358155</v>
      </c>
      <c r="C14" s="684">
        <f>(C13-B13)/B13%</f>
        <v>-1.9807682572494378</v>
      </c>
      <c r="D14" s="684">
        <f>(D13-C13)/C13%</f>
        <v>2.0235633082312701</v>
      </c>
      <c r="E14" s="684">
        <f>(E13-D13)/D13%</f>
        <v>3.0223669718230624</v>
      </c>
      <c r="F14" s="684">
        <f>(F13-E13)/E13%</f>
        <v>-2.5561079498927977</v>
      </c>
      <c r="G14" s="1376" t="s">
        <v>1732</v>
      </c>
    </row>
    <row r="15" spans="1:7" ht="14.25" customHeight="1">
      <c r="A15" s="1370" t="s">
        <v>257</v>
      </c>
      <c r="B15" s="684">
        <f>B13/17368.3*100</f>
        <v>84.579020800126486</v>
      </c>
      <c r="C15" s="684">
        <f>C13/17368.3*100</f>
        <v>82.903706403825169</v>
      </c>
      <c r="D15" s="684">
        <f>D13/17368.3*100</f>
        <v>84.581315387776755</v>
      </c>
      <c r="E15" s="684">
        <f>E13/17368.3*100</f>
        <v>87.137673128390418</v>
      </c>
      <c r="F15" s="684">
        <f>F13/17368.3*100</f>
        <v>84.910340138204035</v>
      </c>
      <c r="G15" s="1377" t="s">
        <v>258</v>
      </c>
    </row>
    <row r="16" spans="1:7" ht="14.25" customHeight="1">
      <c r="A16" s="1374" t="s">
        <v>259</v>
      </c>
      <c r="B16" s="684">
        <v>15966.291360589066</v>
      </c>
      <c r="C16" s="684">
        <f>'3'!$J$34</f>
        <v>15899.657414014246</v>
      </c>
      <c r="D16" s="684">
        <f>'3'!$J$37</f>
        <v>16016.12461470573</v>
      </c>
      <c r="E16" s="684">
        <f>'3'!$J$40</f>
        <v>16626.187498621013</v>
      </c>
      <c r="F16" s="684">
        <f>'3'!$J$43</f>
        <v>16220.381899778669</v>
      </c>
      <c r="G16" s="1371" t="s">
        <v>260</v>
      </c>
    </row>
    <row r="17" spans="1:7" ht="14.25" customHeight="1">
      <c r="A17" s="1370" t="s">
        <v>254</v>
      </c>
      <c r="B17" s="684">
        <v>1.9037898679114567</v>
      </c>
      <c r="C17" s="684">
        <f>(C16-B16)/B16%</f>
        <v>-0.41734141680076525</v>
      </c>
      <c r="D17" s="684">
        <f>(D16-C16)/C16%</f>
        <v>0.73251390051227161</v>
      </c>
      <c r="E17" s="684">
        <f>(E16-D16)/D16%</f>
        <v>3.8090543036555418</v>
      </c>
      <c r="F17" s="684">
        <f>(F16-E16)/E16%</f>
        <v>-2.440761592974948</v>
      </c>
      <c r="G17" s="1376" t="s">
        <v>1732</v>
      </c>
    </row>
    <row r="18" spans="1:7" ht="20.25" customHeight="1">
      <c r="A18" s="1372" t="s">
        <v>261</v>
      </c>
      <c r="B18" s="792"/>
      <c r="C18" s="792"/>
      <c r="D18" s="792"/>
      <c r="E18" s="792"/>
      <c r="F18" s="792"/>
      <c r="G18" s="1373" t="s">
        <v>262</v>
      </c>
    </row>
    <row r="19" spans="1:7" ht="14.25" customHeight="1">
      <c r="A19" s="1374" t="s">
        <v>263</v>
      </c>
      <c r="B19" s="684">
        <v>238528.12978723401</v>
      </c>
      <c r="C19" s="684">
        <f>'13'!$I$34</f>
        <v>240106.09574468085</v>
      </c>
      <c r="D19" s="684">
        <f>'13'!$I$37</f>
        <v>243650.28297872341</v>
      </c>
      <c r="E19" s="684">
        <f>'13'!$I$40</f>
        <v>249728.14680851065</v>
      </c>
      <c r="F19" s="684">
        <f>'13'!$I$43</f>
        <v>247827.62127659575</v>
      </c>
      <c r="G19" s="1371" t="s">
        <v>264</v>
      </c>
    </row>
    <row r="20" spans="1:7" ht="14.25" customHeight="1">
      <c r="A20" s="1370" t="s">
        <v>257</v>
      </c>
      <c r="B20" s="684">
        <f>B19/46192.3*100</f>
        <v>516.3807166718999</v>
      </c>
      <c r="C20" s="684">
        <f>C19/46192.3*100</f>
        <v>519.79679674898375</v>
      </c>
      <c r="D20" s="684">
        <f>D19/46192.3*100</f>
        <v>527.46947646842307</v>
      </c>
      <c r="E20" s="684">
        <f>E19/46192.3*100</f>
        <v>540.62721884060898</v>
      </c>
      <c r="F20" s="684">
        <f>F19/46192.3*100</f>
        <v>536.51284148352806</v>
      </c>
      <c r="G20" s="1377" t="s">
        <v>258</v>
      </c>
    </row>
    <row r="21" spans="1:7" ht="14.25" customHeight="1">
      <c r="A21" s="1374" t="s">
        <v>265</v>
      </c>
      <c r="B21" s="684">
        <v>107076.27457556537</v>
      </c>
      <c r="C21" s="684">
        <f>'14'!$L$34/0.376+0.02</f>
        <v>108251.55864253828</v>
      </c>
      <c r="D21" s="684">
        <f>'14'!$L$37/0.376+0.02</f>
        <v>109568.85998030612</v>
      </c>
      <c r="E21" s="684">
        <f>'14'!$L$40/0.376</f>
        <v>110457.4151393019</v>
      </c>
      <c r="F21" s="684">
        <f>'14'!$L$43/0.376-0.03</f>
        <v>110929.54148741181</v>
      </c>
      <c r="G21" s="1371" t="s">
        <v>266</v>
      </c>
    </row>
    <row r="22" spans="1:7" ht="14.25" customHeight="1">
      <c r="A22" s="1370" t="s">
        <v>257</v>
      </c>
      <c r="B22" s="684">
        <f>B21/46192.3*100</f>
        <v>231.80546232936086</v>
      </c>
      <c r="C22" s="684">
        <f>C21/46192.3*100</f>
        <v>234.34979129105557</v>
      </c>
      <c r="D22" s="684">
        <f>D21/46192.3*100</f>
        <v>237.20156818410453</v>
      </c>
      <c r="E22" s="684">
        <f>E21/46192.3*100</f>
        <v>239.12516834905793</v>
      </c>
      <c r="F22" s="684">
        <f>F21/46192.3*100</f>
        <v>240.14725719960214</v>
      </c>
      <c r="G22" s="1377" t="s">
        <v>258</v>
      </c>
    </row>
    <row r="23" spans="1:7" ht="14.25" customHeight="1">
      <c r="A23" s="1374" t="s">
        <v>267</v>
      </c>
      <c r="B23" s="684">
        <v>131451.81630680925</v>
      </c>
      <c r="C23" s="684">
        <f>'28'!$N$34</f>
        <v>131854.54040682598</v>
      </c>
      <c r="D23" s="684">
        <f>'28'!$N$37</f>
        <v>134081.37616509496</v>
      </c>
      <c r="E23" s="684">
        <f>'28'!$N$40</f>
        <v>139270.712369188</v>
      </c>
      <c r="F23" s="684">
        <f>'28'!$N$43</f>
        <v>136898.13899261274</v>
      </c>
      <c r="G23" s="1371" t="s">
        <v>268</v>
      </c>
    </row>
    <row r="24" spans="1:7" ht="14.25" customHeight="1">
      <c r="A24" s="1370" t="s">
        <v>257</v>
      </c>
      <c r="B24" s="684">
        <f>B23/46192.3*100</f>
        <v>284.57517011884931</v>
      </c>
      <c r="C24" s="684">
        <f>C23/46192.3*100</f>
        <v>285.44701261211497</v>
      </c>
      <c r="D24" s="684">
        <f>D23/46192.3*100</f>
        <v>290.26780689659307</v>
      </c>
      <c r="E24" s="684">
        <f>E23/46192.3*100</f>
        <v>301.50200870965074</v>
      </c>
      <c r="F24" s="684">
        <f>F23/46192.3*100</f>
        <v>296.36571245123696</v>
      </c>
      <c r="G24" s="1377" t="s">
        <v>258</v>
      </c>
    </row>
    <row r="25" spans="1:7" ht="14.25" customHeight="1">
      <c r="A25" s="1374" t="s">
        <v>269</v>
      </c>
      <c r="B25" s="684">
        <v>38234.372646608033</v>
      </c>
      <c r="C25" s="684">
        <f>'32'!$O$34</f>
        <v>61002.487103049229</v>
      </c>
      <c r="D25" s="684">
        <f>'32'!$O$37</f>
        <v>61702.838289574582</v>
      </c>
      <c r="E25" s="684">
        <f>'32'!$O$40</f>
        <v>62310.517464727287</v>
      </c>
      <c r="F25" s="684">
        <f>'32'!$O$43</f>
        <v>63354.368029157165</v>
      </c>
      <c r="G25" s="1371" t="s">
        <v>270</v>
      </c>
    </row>
    <row r="26" spans="1:7" ht="14.25" customHeight="1">
      <c r="A26" s="1370" t="s">
        <v>257</v>
      </c>
      <c r="B26" s="684">
        <f>B25/46192.3*100</f>
        <v>82.772177714917916</v>
      </c>
      <c r="C26" s="684">
        <f>C25/46192.3*100</f>
        <v>132.06202571218412</v>
      </c>
      <c r="D26" s="684">
        <f>D25/46192.3*100</f>
        <v>133.57819006538878</v>
      </c>
      <c r="E26" s="684">
        <f>E25/46192.3*100</f>
        <v>134.89373221235419</v>
      </c>
      <c r="F26" s="684">
        <f>F25/46192.3*100</f>
        <v>137.15352565071919</v>
      </c>
      <c r="G26" s="1377" t="s">
        <v>258</v>
      </c>
    </row>
    <row r="27" spans="1:7" ht="14.25" customHeight="1">
      <c r="A27" s="1374" t="s">
        <v>271</v>
      </c>
      <c r="B27" s="684">
        <v>88826.302127659583</v>
      </c>
      <c r="C27" s="684">
        <f>'13'!$G$34</f>
        <v>89801.614893617021</v>
      </c>
      <c r="D27" s="684">
        <f>'13'!$G$37</f>
        <v>91151.519148936175</v>
      </c>
      <c r="E27" s="684">
        <f>'13'!$G$40</f>
        <v>93477.235957446814</v>
      </c>
      <c r="F27" s="684">
        <f>'13'!$G$43</f>
        <v>89898.948936170214</v>
      </c>
      <c r="G27" s="1371" t="s">
        <v>272</v>
      </c>
    </row>
    <row r="28" spans="1:7" ht="14.25" customHeight="1">
      <c r="A28" s="1370" t="s">
        <v>257</v>
      </c>
      <c r="B28" s="684">
        <f>B27/46192.3*100</f>
        <v>192.29677268215605</v>
      </c>
      <c r="C28" s="684">
        <f>C27/46192.3*100</f>
        <v>194.40819117822022</v>
      </c>
      <c r="D28" s="684">
        <f>D27/46192.3*100</f>
        <v>197.3305489203529</v>
      </c>
      <c r="E28" s="684">
        <f>E27/46192.3*100</f>
        <v>202.36540712942806</v>
      </c>
      <c r="F28" s="684">
        <f>F27/46192.3*100</f>
        <v>194.6189060431505</v>
      </c>
      <c r="G28" s="1377" t="s">
        <v>258</v>
      </c>
    </row>
    <row r="29" spans="1:7" ht="14.25" customHeight="1">
      <c r="A29" s="1378" t="s">
        <v>273</v>
      </c>
      <c r="B29" s="684">
        <v>164700.33191489361</v>
      </c>
      <c r="C29" s="684">
        <f>'13'!$O$34</f>
        <v>166268.73617021277</v>
      </c>
      <c r="D29" s="684">
        <f>'13'!$O$37</f>
        <v>170666.29574468086</v>
      </c>
      <c r="E29" s="684">
        <f>'13'!$O$40</f>
        <v>174554.87872340425</v>
      </c>
      <c r="F29" s="684">
        <f>'13'!$O$43</f>
        <v>174784.4170212766</v>
      </c>
      <c r="G29" s="1371" t="s">
        <v>274</v>
      </c>
    </row>
    <row r="30" spans="1:7" ht="14.25" customHeight="1">
      <c r="A30" s="1379" t="s">
        <v>275</v>
      </c>
      <c r="B30" s="684">
        <v>69.048599031823017</v>
      </c>
      <c r="C30" s="684">
        <f>(C29/C19)*100</f>
        <v>69.248027899723226</v>
      </c>
      <c r="D30" s="684">
        <f>(D29/D19)*100</f>
        <v>70.045597180605029</v>
      </c>
      <c r="E30" s="684">
        <f>(E29/E19)*100</f>
        <v>69.897959422752379</v>
      </c>
      <c r="F30" s="684">
        <f>(F29/F19)*100</f>
        <v>70.526608826303104</v>
      </c>
      <c r="G30" s="1377" t="s">
        <v>276</v>
      </c>
    </row>
    <row r="31" spans="1:7" ht="14.25" customHeight="1">
      <c r="A31" s="1370" t="s">
        <v>257</v>
      </c>
      <c r="B31" s="684">
        <f>B29/46192.3*100</f>
        <v>356.55365053243423</v>
      </c>
      <c r="C31" s="684">
        <f>C29/46192.3*100</f>
        <v>359.94903083460395</v>
      </c>
      <c r="D31" s="684">
        <f>D29/46192.3*100</f>
        <v>369.46914473771784</v>
      </c>
      <c r="E31" s="684">
        <f>E29/46192.3*100</f>
        <v>377.88739405356353</v>
      </c>
      <c r="F31" s="684">
        <f>F29/46192.3*100</f>
        <v>378.38431301597149</v>
      </c>
      <c r="G31" s="1377" t="s">
        <v>258</v>
      </c>
    </row>
    <row r="32" spans="1:7" ht="14.25" customHeight="1">
      <c r="A32" s="1374" t="s">
        <v>277</v>
      </c>
      <c r="B32" s="684">
        <v>28235.062738194007</v>
      </c>
      <c r="C32" s="684">
        <v>27583.002210340579</v>
      </c>
      <c r="D32" s="684">
        <v>27790.401355917693</v>
      </c>
      <c r="E32" s="684">
        <v>28955.285107157222</v>
      </c>
      <c r="F32" s="684">
        <v>29347.297030995906</v>
      </c>
      <c r="G32" s="1371" t="s">
        <v>278</v>
      </c>
    </row>
    <row r="33" spans="1:7" ht="14.25" customHeight="1">
      <c r="A33" s="1379" t="s">
        <v>279</v>
      </c>
      <c r="B33" s="1380">
        <v>11.837204594434859</v>
      </c>
      <c r="C33" s="1380">
        <f>C32/C19%</f>
        <v>11.487839209076654</v>
      </c>
      <c r="D33" s="1380">
        <f>D32/D19%</f>
        <v>11.405856384063576</v>
      </c>
      <c r="E33" s="1380">
        <f>E32/E19%</f>
        <v>11.594722291900833</v>
      </c>
      <c r="F33" s="1380">
        <f>F32/F19%</f>
        <v>11.8418184703641</v>
      </c>
      <c r="G33" s="1381" t="s">
        <v>280</v>
      </c>
    </row>
    <row r="34" spans="1:7" ht="20.25" customHeight="1">
      <c r="A34" s="1372" t="s">
        <v>281</v>
      </c>
      <c r="B34" s="792"/>
      <c r="C34" s="792"/>
      <c r="D34" s="792"/>
      <c r="E34" s="792"/>
      <c r="F34" s="792"/>
      <c r="G34" s="1373" t="s">
        <v>31</v>
      </c>
    </row>
    <row r="35" spans="1:7" ht="14.25" customHeight="1">
      <c r="A35" s="1374" t="s">
        <v>282</v>
      </c>
      <c r="B35" s="684">
        <v>-3101.3999999999996</v>
      </c>
      <c r="C35" s="684">
        <f>'16'!$J$34</f>
        <v>-3695.8000000000011</v>
      </c>
      <c r="D35" s="684">
        <f>'16'!$J$37</f>
        <v>-4206.7000000000007</v>
      </c>
      <c r="E35" s="684">
        <f>'16'!$J$40</f>
        <v>-4089.3000000000011</v>
      </c>
      <c r="F35" s="684">
        <f>'16'!$J$43</f>
        <v>-4223.7000000000007</v>
      </c>
      <c r="G35" s="1371" t="s">
        <v>283</v>
      </c>
    </row>
    <row r="36" spans="1:7" ht="14.25" customHeight="1">
      <c r="A36" s="1374" t="s">
        <v>284</v>
      </c>
      <c r="B36" s="684">
        <v>15431.6</v>
      </c>
      <c r="C36" s="684">
        <f>ROUND('19'!$K$34,1)+ROUND('19'!$L$34,1)</f>
        <v>15081.5</v>
      </c>
      <c r="D36" s="684">
        <f>ROUND('19'!$K$37,1)+ROUND('19'!$L$37,1)</f>
        <v>15463.5</v>
      </c>
      <c r="E36" s="684">
        <f>ROUND('19'!$K$40,1)+ROUND('19'!$L$40,1)</f>
        <v>16074.5</v>
      </c>
      <c r="F36" s="684">
        <f>ROUND('19'!$K$43,1)+ROUND('19'!$L$43,1)</f>
        <v>15679.8</v>
      </c>
      <c r="G36" s="1371" t="s">
        <v>285</v>
      </c>
    </row>
    <row r="37" spans="1:7" ht="14.25" customHeight="1">
      <c r="A37" s="1370" t="s">
        <v>257</v>
      </c>
      <c r="B37" s="684">
        <f>B36/17368.3*100</f>
        <v>88.849225312782494</v>
      </c>
      <c r="C37" s="684">
        <f>C36/17368.3*100</f>
        <v>86.833483990949034</v>
      </c>
      <c r="D37" s="684">
        <f>D36/17368.3*100</f>
        <v>89.032893259559089</v>
      </c>
      <c r="E37" s="684">
        <f>E36/17368.3*100</f>
        <v>92.550796566157885</v>
      </c>
      <c r="F37" s="684">
        <f>F36/17368.3*100</f>
        <v>90.278265575790371</v>
      </c>
      <c r="G37" s="1377" t="s">
        <v>258</v>
      </c>
    </row>
    <row r="38" spans="1:7" ht="14.25" customHeight="1">
      <c r="A38" s="1382" t="s">
        <v>286</v>
      </c>
      <c r="B38" s="684">
        <v>11779.271154676429</v>
      </c>
      <c r="C38" s="684">
        <f>'20'!$L$34</f>
        <v>12125.640672090414</v>
      </c>
      <c r="D38" s="684">
        <f>'20'!$L$37</f>
        <v>12228.832756745041</v>
      </c>
      <c r="E38" s="684">
        <f>'20'!$L$40</f>
        <v>12164.677245830258</v>
      </c>
      <c r="F38" s="684">
        <f>'20'!$L$43</f>
        <v>12321.880044577063</v>
      </c>
      <c r="G38" s="1371" t="s">
        <v>287</v>
      </c>
    </row>
    <row r="39" spans="1:7" ht="14.25" customHeight="1">
      <c r="A39" s="1370" t="s">
        <v>257</v>
      </c>
      <c r="B39" s="684">
        <f>B38/17368.3*100</f>
        <v>67.820518730540286</v>
      </c>
      <c r="C39" s="684">
        <f>C38/17368.3*100</f>
        <v>69.814781366572518</v>
      </c>
      <c r="D39" s="684">
        <f>D38/17368.3*100</f>
        <v>70.408921752532152</v>
      </c>
      <c r="E39" s="684">
        <f>E38/17368.3*100</f>
        <v>70.039538963688202</v>
      </c>
      <c r="F39" s="684">
        <f>F38/17368.3*100</f>
        <v>70.944652295141523</v>
      </c>
      <c r="G39" s="1377" t="s">
        <v>258</v>
      </c>
    </row>
    <row r="40" spans="1:7" s="1354" customFormat="1" ht="20.25" customHeight="1">
      <c r="A40" s="1383" t="s">
        <v>288</v>
      </c>
      <c r="B40" s="1384"/>
      <c r="C40" s="1384"/>
      <c r="D40" s="1384"/>
      <c r="E40" s="1384"/>
      <c r="F40" s="1384"/>
      <c r="G40" s="1385" t="s">
        <v>289</v>
      </c>
    </row>
    <row r="41" spans="1:7" ht="14.25" customHeight="1">
      <c r="A41" s="1386"/>
      <c r="B41" s="1115"/>
      <c r="C41" s="1115"/>
      <c r="D41" s="1115"/>
      <c r="E41" s="1115"/>
      <c r="F41" s="1115"/>
      <c r="G41" s="1387"/>
    </row>
    <row r="42" spans="1:7" ht="14.25" customHeight="1">
      <c r="A42" s="1386"/>
      <c r="B42" s="815"/>
      <c r="C42" s="815"/>
      <c r="D42" s="815"/>
      <c r="E42" s="815"/>
      <c r="F42" s="815"/>
      <c r="G42" s="1387"/>
    </row>
    <row r="43" spans="1:7" ht="14.25" customHeight="1">
      <c r="A43" s="1386"/>
      <c r="G43" s="1387"/>
    </row>
    <row r="44" spans="1:7" ht="14.25" customHeight="1">
      <c r="A44" s="1386"/>
      <c r="G44" s="1387"/>
    </row>
    <row r="45" spans="1:7" s="1354" customFormat="1" ht="20.25" customHeight="1">
      <c r="A45" s="1352" t="s">
        <v>233</v>
      </c>
      <c r="B45" s="1353"/>
      <c r="C45" s="1353"/>
      <c r="D45" s="1353"/>
      <c r="E45" s="1353"/>
      <c r="F45" s="1353"/>
      <c r="G45" s="1353"/>
    </row>
    <row r="46" spans="1:7" s="1354" customFormat="1" ht="18">
      <c r="A46" s="1355" t="s">
        <v>234</v>
      </c>
      <c r="B46" s="1353"/>
      <c r="C46" s="1353"/>
      <c r="D46" s="1353"/>
      <c r="E46" s="1353"/>
      <c r="F46" s="1353"/>
      <c r="G46" s="1353"/>
    </row>
    <row r="48" spans="1:7" s="1354" customFormat="1" ht="18" customHeight="1">
      <c r="A48" s="1356" t="s">
        <v>235</v>
      </c>
      <c r="B48" s="1357">
        <v>2023</v>
      </c>
      <c r="C48" s="1357">
        <v>2024</v>
      </c>
      <c r="D48" s="1357"/>
      <c r="E48" s="1357"/>
      <c r="F48" s="1357"/>
      <c r="G48" s="1358" t="s">
        <v>236</v>
      </c>
    </row>
    <row r="49" spans="1:7" s="1362" customFormat="1" ht="14.85" customHeight="1">
      <c r="A49" s="1359"/>
      <c r="B49" s="1360" t="s">
        <v>237</v>
      </c>
      <c r="C49" s="1360" t="s">
        <v>237</v>
      </c>
      <c r="D49" s="1360" t="s">
        <v>237</v>
      </c>
      <c r="E49" s="1360" t="s">
        <v>237</v>
      </c>
      <c r="F49" s="1360" t="s">
        <v>237</v>
      </c>
      <c r="G49" s="1361"/>
    </row>
    <row r="50" spans="1:7" s="1362" customFormat="1" ht="14.85" customHeight="1">
      <c r="A50" s="1359"/>
      <c r="B50" s="1363" t="s">
        <v>238</v>
      </c>
      <c r="C50" s="1363" t="str">
        <f t="shared" ref="C50" si="0">C6</f>
        <v>الأول</v>
      </c>
      <c r="D50" s="1363" t="str">
        <f t="shared" ref="D50:E50" si="1">D6</f>
        <v>الثاني</v>
      </c>
      <c r="E50" s="1363" t="str">
        <f t="shared" si="1"/>
        <v>الثالث</v>
      </c>
      <c r="F50" s="1363" t="str">
        <f t="shared" ref="F50" si="2">F6</f>
        <v>الرابع</v>
      </c>
      <c r="G50" s="1361"/>
    </row>
    <row r="51" spans="1:7" s="1354" customFormat="1" ht="14.85" customHeight="1">
      <c r="A51" s="1364"/>
      <c r="B51" s="1365" t="s">
        <v>242</v>
      </c>
      <c r="C51" s="1365" t="str">
        <f t="shared" ref="C51" si="3">C7</f>
        <v>Q1</v>
      </c>
      <c r="D51" s="1365" t="str">
        <f t="shared" ref="D51:E51" si="4">D7</f>
        <v>Q2</v>
      </c>
      <c r="E51" s="1365" t="str">
        <f t="shared" si="4"/>
        <v>Q3</v>
      </c>
      <c r="F51" s="1365" t="str">
        <f t="shared" ref="F51" si="5">F7</f>
        <v>Q4</v>
      </c>
      <c r="G51" s="1366"/>
    </row>
    <row r="52" spans="1:7" ht="20.25" customHeight="1">
      <c r="A52" s="1372" t="s">
        <v>290</v>
      </c>
      <c r="B52" s="1388"/>
      <c r="C52" s="1388"/>
      <c r="D52" s="1388"/>
      <c r="E52" s="1388"/>
      <c r="F52" s="1388"/>
      <c r="G52" s="1373" t="s">
        <v>291</v>
      </c>
    </row>
    <row r="53" spans="1:7" ht="14.25" customHeight="1">
      <c r="A53" s="1374" t="s">
        <v>292</v>
      </c>
      <c r="B53" s="1310">
        <v>6.1430734291067672</v>
      </c>
      <c r="C53" s="1310">
        <f>'7'!$R$34</f>
        <v>5.6667197599729207</v>
      </c>
      <c r="D53" s="1310">
        <f>'7'!$R$37</f>
        <v>5.6450008738597903</v>
      </c>
      <c r="E53" s="1310">
        <f>'7'!$R$40</f>
        <v>5.1826455096659263</v>
      </c>
      <c r="F53" s="1310">
        <f>'7'!$R$43</f>
        <v>5.1575504663992779</v>
      </c>
      <c r="G53" s="1371" t="s">
        <v>293</v>
      </c>
    </row>
    <row r="54" spans="1:7" ht="14.25" customHeight="1">
      <c r="A54" s="1374" t="s">
        <v>294</v>
      </c>
      <c r="B54" s="1310">
        <v>9.2667360163488048</v>
      </c>
      <c r="C54" s="1310">
        <f>'7'!$K$34</f>
        <v>7.9873404919791442</v>
      </c>
      <c r="D54" s="1310">
        <f>'7'!$K$37</f>
        <v>7.4867725362698954</v>
      </c>
      <c r="E54" s="1310">
        <f>'7'!$K$40</f>
        <v>6.5410420754638405</v>
      </c>
      <c r="F54" s="1310">
        <f>'7'!$K$43</f>
        <v>6.5559913750279195</v>
      </c>
      <c r="G54" s="1371" t="s">
        <v>295</v>
      </c>
    </row>
    <row r="55" spans="1:7" ht="14.25" customHeight="1">
      <c r="A55" s="1374" t="s">
        <v>296</v>
      </c>
      <c r="B55" s="1310">
        <v>3.069885346490846</v>
      </c>
      <c r="C55" s="1310">
        <f>'7'!$F$34</f>
        <v>2.5006809683970253</v>
      </c>
      <c r="D55" s="1310">
        <f>'7'!$F$37</f>
        <v>2.8464750888559327</v>
      </c>
      <c r="E55" s="1310">
        <f>'7'!$F$40</f>
        <v>2.4355558612611565</v>
      </c>
      <c r="F55" s="1310">
        <f>'7'!$F$43</f>
        <v>2.2005299387286597</v>
      </c>
      <c r="G55" s="1371" t="s">
        <v>298</v>
      </c>
    </row>
    <row r="56" spans="1:7" ht="20.25" customHeight="1">
      <c r="A56" s="1372" t="s">
        <v>299</v>
      </c>
      <c r="B56" s="792"/>
      <c r="C56" s="792"/>
      <c r="D56" s="792"/>
      <c r="E56" s="792"/>
      <c r="F56" s="792"/>
      <c r="G56" s="1389" t="s">
        <v>1733</v>
      </c>
    </row>
    <row r="57" spans="1:7" ht="14.25" customHeight="1">
      <c r="A57" s="1370" t="s">
        <v>300</v>
      </c>
      <c r="B57" s="1310">
        <v>5.39</v>
      </c>
      <c r="C57" s="1310">
        <v>5.36</v>
      </c>
      <c r="D57" s="1310">
        <v>5.39</v>
      </c>
      <c r="E57" s="1310">
        <v>5.12</v>
      </c>
      <c r="F57" s="1310">
        <v>4.5199999999999996</v>
      </c>
      <c r="G57" s="1377" t="s">
        <v>301</v>
      </c>
    </row>
    <row r="58" spans="1:7" ht="14.25" customHeight="1">
      <c r="A58" s="1370" t="s">
        <v>302</v>
      </c>
      <c r="B58" s="1310">
        <v>5.3589000000000002</v>
      </c>
      <c r="C58" s="1310">
        <v>5.298</v>
      </c>
      <c r="D58" s="1310">
        <v>5.3728999999999996</v>
      </c>
      <c r="E58" s="1310">
        <v>4.82</v>
      </c>
      <c r="F58" s="1310">
        <v>4.3780000000000001</v>
      </c>
      <c r="G58" s="1377" t="s">
        <v>303</v>
      </c>
    </row>
    <row r="59" spans="1:7" ht="14.25" customHeight="1">
      <c r="A59" s="1374" t="s">
        <v>304</v>
      </c>
      <c r="B59" s="1310">
        <v>7</v>
      </c>
      <c r="C59" s="1310">
        <v>7</v>
      </c>
      <c r="D59" s="1310">
        <v>7</v>
      </c>
      <c r="E59" s="1310">
        <v>6.83</v>
      </c>
      <c r="F59" s="1310">
        <v>6.25</v>
      </c>
      <c r="G59" s="1371" t="s">
        <v>305</v>
      </c>
    </row>
    <row r="60" spans="1:7" ht="20.25" customHeight="1">
      <c r="A60" s="1372" t="s">
        <v>306</v>
      </c>
      <c r="B60" s="1390"/>
      <c r="C60" s="1390"/>
      <c r="D60" s="1390"/>
      <c r="E60" s="1390"/>
      <c r="F60" s="1390"/>
      <c r="G60" s="1389" t="s">
        <v>1734</v>
      </c>
    </row>
    <row r="61" spans="1:7" ht="14.25" customHeight="1">
      <c r="A61" s="1370" t="s">
        <v>300</v>
      </c>
      <c r="B61" s="1310">
        <v>6.37</v>
      </c>
      <c r="C61" s="1310">
        <v>6.06</v>
      </c>
      <c r="D61" s="1310">
        <v>5.94</v>
      </c>
      <c r="E61" s="1310">
        <v>6.23</v>
      </c>
      <c r="F61" s="1310">
        <v>5.85</v>
      </c>
      <c r="G61" s="1377" t="s">
        <v>301</v>
      </c>
    </row>
    <row r="62" spans="1:7" ht="14.25" customHeight="1">
      <c r="A62" s="1370" t="s">
        <v>302</v>
      </c>
      <c r="B62" s="1310">
        <v>6.36</v>
      </c>
      <c r="C62" s="1310">
        <v>5.99</v>
      </c>
      <c r="D62" s="1310">
        <v>6.016666667</v>
      </c>
      <c r="E62" s="1310">
        <v>5.99</v>
      </c>
      <c r="F62" s="1310">
        <v>5.68</v>
      </c>
      <c r="G62" s="1377" t="s">
        <v>303</v>
      </c>
    </row>
    <row r="63" spans="1:7" ht="14.25" customHeight="1">
      <c r="A63" s="1370" t="s">
        <v>307</v>
      </c>
      <c r="B63" s="1310">
        <v>6.38</v>
      </c>
      <c r="C63" s="1310">
        <v>5.9930000000000003</v>
      </c>
      <c r="D63" s="1310">
        <v>6.0633333330000001</v>
      </c>
      <c r="E63" s="1310">
        <v>5.74</v>
      </c>
      <c r="F63" s="1310">
        <v>5.41</v>
      </c>
      <c r="G63" s="1377" t="s">
        <v>308</v>
      </c>
    </row>
    <row r="64" spans="1:7" ht="14.25" customHeight="1">
      <c r="A64" s="1374" t="s">
        <v>309</v>
      </c>
      <c r="B64" s="1310">
        <v>6.36</v>
      </c>
      <c r="C64" s="1310">
        <v>6.0670000000000002</v>
      </c>
      <c r="D64" s="1310">
        <v>5.9130000000000003</v>
      </c>
      <c r="E64" s="1310">
        <v>6.1130000000000004</v>
      </c>
      <c r="F64" s="1310">
        <v>5.7930000000000001</v>
      </c>
      <c r="G64" s="1371" t="s">
        <v>310</v>
      </c>
    </row>
    <row r="65" spans="1:7" ht="14.25" customHeight="1">
      <c r="A65" s="1374" t="s">
        <v>311</v>
      </c>
      <c r="B65" s="1310">
        <v>6.3869999999999996</v>
      </c>
      <c r="C65" s="1310">
        <v>6.0869999999999997</v>
      </c>
      <c r="D65" s="1310">
        <v>5.95</v>
      </c>
      <c r="E65" s="1310">
        <v>6.093</v>
      </c>
      <c r="F65" s="1310">
        <v>5.673</v>
      </c>
      <c r="G65" s="1371" t="s">
        <v>312</v>
      </c>
    </row>
    <row r="66" spans="1:7" ht="25.5">
      <c r="A66" s="1391" t="s">
        <v>313</v>
      </c>
      <c r="B66" s="1310">
        <v>6.25</v>
      </c>
      <c r="C66" s="1310">
        <v>6</v>
      </c>
      <c r="D66" s="1310">
        <v>6</v>
      </c>
      <c r="E66" s="1310">
        <v>6</v>
      </c>
      <c r="F66" s="1310">
        <v>5.875</v>
      </c>
      <c r="G66" s="1371" t="s">
        <v>314</v>
      </c>
    </row>
    <row r="67" spans="1:7" ht="20.25" customHeight="1">
      <c r="A67" s="1372" t="s">
        <v>315</v>
      </c>
      <c r="B67" s="1390"/>
      <c r="C67" s="1390"/>
      <c r="D67" s="1390"/>
      <c r="E67" s="1390"/>
      <c r="F67" s="1390"/>
      <c r="G67" s="1389" t="s">
        <v>1735</v>
      </c>
    </row>
    <row r="68" spans="1:7" ht="25.5">
      <c r="A68" s="1391" t="s">
        <v>316</v>
      </c>
      <c r="B68" s="1310">
        <v>6.5</v>
      </c>
      <c r="C68" s="1310">
        <v>6.8125</v>
      </c>
      <c r="D68" s="1310">
        <v>6.8125</v>
      </c>
      <c r="E68" s="1310">
        <v>5.875</v>
      </c>
      <c r="F68" s="1310">
        <v>5.5</v>
      </c>
      <c r="G68" s="1371" t="s">
        <v>317</v>
      </c>
    </row>
    <row r="69" spans="1:7" ht="20.25" customHeight="1">
      <c r="A69" s="1372" t="s">
        <v>318</v>
      </c>
      <c r="B69" s="1392"/>
      <c r="C69" s="1392"/>
      <c r="D69" s="1392"/>
      <c r="E69" s="1392"/>
      <c r="F69" s="1392"/>
      <c r="G69" s="1373" t="s">
        <v>319</v>
      </c>
    </row>
    <row r="70" spans="1:7" ht="14.25" customHeight="1">
      <c r="A70" s="1374" t="s">
        <v>99</v>
      </c>
      <c r="B70" s="1393">
        <v>14362</v>
      </c>
      <c r="C70" s="1393"/>
      <c r="D70" s="1393"/>
      <c r="E70" s="1393"/>
      <c r="F70" s="1393">
        <v>14775</v>
      </c>
      <c r="G70" s="1371" t="s">
        <v>100</v>
      </c>
    </row>
    <row r="71" spans="1:7" ht="14.25" customHeight="1">
      <c r="A71" s="1378" t="s">
        <v>320</v>
      </c>
      <c r="B71" s="1394">
        <v>69.59</v>
      </c>
      <c r="C71" s="1394"/>
      <c r="D71" s="1394"/>
      <c r="E71" s="1394"/>
      <c r="F71" s="1394">
        <v>69.434856175972925</v>
      </c>
      <c r="G71" s="1371" t="s">
        <v>321</v>
      </c>
    </row>
    <row r="72" spans="1:7" ht="20.25" customHeight="1">
      <c r="A72" s="1372" t="s">
        <v>322</v>
      </c>
      <c r="B72" s="1392"/>
      <c r="C72" s="1392"/>
      <c r="D72" s="1392"/>
      <c r="E72" s="1392"/>
      <c r="F72" s="1392"/>
      <c r="G72" s="1373" t="s">
        <v>323</v>
      </c>
    </row>
    <row r="73" spans="1:7" ht="14.25" customHeight="1">
      <c r="A73" s="1374" t="s">
        <v>324</v>
      </c>
      <c r="B73" s="1393">
        <v>369</v>
      </c>
      <c r="C73" s="1393">
        <v>367</v>
      </c>
      <c r="D73" s="1393">
        <v>367</v>
      </c>
      <c r="E73" s="1393">
        <v>367</v>
      </c>
      <c r="F73" s="1393">
        <v>367</v>
      </c>
      <c r="G73" s="1371" t="s">
        <v>325</v>
      </c>
    </row>
    <row r="74" spans="1:7" ht="14.25" customHeight="1">
      <c r="A74" s="1374" t="s">
        <v>326</v>
      </c>
      <c r="B74" s="1393">
        <v>9</v>
      </c>
      <c r="C74" s="1393">
        <v>4</v>
      </c>
      <c r="D74" s="1393">
        <v>2</v>
      </c>
      <c r="E74" s="1393">
        <v>2</v>
      </c>
      <c r="F74" s="1393">
        <v>2</v>
      </c>
      <c r="G74" s="1371" t="s">
        <v>327</v>
      </c>
    </row>
    <row r="75" spans="1:7" ht="20.25" customHeight="1">
      <c r="A75" s="1372" t="s">
        <v>117</v>
      </c>
      <c r="B75" s="1392"/>
      <c r="C75" s="1392"/>
      <c r="D75" s="1392"/>
      <c r="E75" s="1392"/>
      <c r="F75" s="1392"/>
      <c r="G75" s="1373" t="s">
        <v>118</v>
      </c>
    </row>
    <row r="76" spans="1:7" ht="14.25" customHeight="1">
      <c r="A76" s="1374" t="s">
        <v>328</v>
      </c>
      <c r="B76" s="1393">
        <v>1663</v>
      </c>
      <c r="C76" s="1393">
        <v>1764</v>
      </c>
      <c r="D76" s="1393">
        <v>1707</v>
      </c>
      <c r="E76" s="1393">
        <v>1723</v>
      </c>
      <c r="F76" s="1393">
        <v>1741</v>
      </c>
      <c r="G76" s="1371" t="s">
        <v>329</v>
      </c>
    </row>
    <row r="77" spans="1:7" ht="14.25" customHeight="1">
      <c r="A77" s="1374" t="s">
        <v>330</v>
      </c>
      <c r="B77" s="1393">
        <v>23</v>
      </c>
      <c r="C77" s="1393">
        <v>75</v>
      </c>
      <c r="D77" s="1393">
        <v>35</v>
      </c>
      <c r="E77" s="1393">
        <v>29</v>
      </c>
      <c r="F77" s="1393">
        <v>32</v>
      </c>
      <c r="G77" s="1371" t="s">
        <v>331</v>
      </c>
    </row>
    <row r="78" spans="1:7" ht="14.25" customHeight="1">
      <c r="A78" s="1378" t="s">
        <v>332</v>
      </c>
      <c r="B78" s="684">
        <v>11140.243</v>
      </c>
      <c r="C78" s="684">
        <f>'60'!$E$31/1000</f>
        <v>11550.921</v>
      </c>
      <c r="D78" s="684">
        <f>'60'!$E$35/1000</f>
        <v>11178.757</v>
      </c>
      <c r="E78" s="684">
        <f>'60'!$E$39/1000</f>
        <v>11232.12</v>
      </c>
      <c r="F78" s="684">
        <f>'60'!$E$43/1000</f>
        <v>11169.114</v>
      </c>
      <c r="G78" s="1395" t="s">
        <v>333</v>
      </c>
    </row>
    <row r="79" spans="1:7" ht="20.25" customHeight="1">
      <c r="A79" s="1372" t="s">
        <v>334</v>
      </c>
      <c r="B79" s="1396"/>
      <c r="C79" s="1396"/>
      <c r="D79" s="1396"/>
      <c r="E79" s="1396"/>
      <c r="F79" s="1396"/>
      <c r="G79" s="1397" t="s">
        <v>335</v>
      </c>
    </row>
    <row r="80" spans="1:7" ht="14.25" customHeight="1">
      <c r="A80" s="1374" t="s">
        <v>26</v>
      </c>
      <c r="B80" s="684">
        <v>15200.2</v>
      </c>
      <c r="C80" s="684">
        <f>'12'!$Q$34</f>
        <v>15861.2</v>
      </c>
      <c r="D80" s="684">
        <f>'12'!$Q$37</f>
        <v>15576.2</v>
      </c>
      <c r="E80" s="684">
        <f>'12'!$Q$40</f>
        <v>15952.2</v>
      </c>
      <c r="F80" s="684">
        <f>'12'!$Q$43</f>
        <v>16610.2</v>
      </c>
      <c r="G80" s="1371" t="s">
        <v>27</v>
      </c>
    </row>
    <row r="81" spans="1:7" ht="14.25" customHeight="1">
      <c r="A81" s="1370" t="s">
        <v>336</v>
      </c>
      <c r="B81" s="1394">
        <f>B80/17368.3*100</f>
        <v>87.516912996666349</v>
      </c>
      <c r="C81" s="1394">
        <f>C80/17368.3*100</f>
        <v>91.322697097585831</v>
      </c>
      <c r="D81" s="1394">
        <f>D80/17368.3*100</f>
        <v>89.681776569957918</v>
      </c>
      <c r="E81" s="1394">
        <f>E80/17368.3*100</f>
        <v>91.846640143249488</v>
      </c>
      <c r="F81" s="1394">
        <f>F80/17368.3*100</f>
        <v>95.635151396509741</v>
      </c>
      <c r="G81" s="1377" t="s">
        <v>337</v>
      </c>
    </row>
    <row r="82" spans="1:7" ht="14.25" customHeight="1">
      <c r="A82" s="1370" t="s">
        <v>338</v>
      </c>
      <c r="B82" s="684">
        <v>9335</v>
      </c>
      <c r="C82" s="684">
        <f>'12'!$E$34</f>
        <v>9996</v>
      </c>
      <c r="D82" s="684">
        <f>'12'!$E$37</f>
        <v>9711</v>
      </c>
      <c r="E82" s="684">
        <f>'12'!$E$40</f>
        <v>10087</v>
      </c>
      <c r="F82" s="684">
        <f>'12'!$E$43</f>
        <v>10463</v>
      </c>
      <c r="G82" s="1377" t="s">
        <v>339</v>
      </c>
    </row>
    <row r="83" spans="1:7" ht="14.25" customHeight="1">
      <c r="A83" s="1370" t="s">
        <v>340</v>
      </c>
      <c r="B83" s="684">
        <v>2110</v>
      </c>
      <c r="C83" s="684">
        <f>'12'!$H$34</f>
        <v>2110</v>
      </c>
      <c r="D83" s="684">
        <f>'12'!$H$37</f>
        <v>2110</v>
      </c>
      <c r="E83" s="684">
        <f>'12'!$H$40</f>
        <v>2110</v>
      </c>
      <c r="F83" s="684">
        <f>'12'!$H$43</f>
        <v>2110</v>
      </c>
      <c r="G83" s="1377" t="s">
        <v>341</v>
      </c>
    </row>
    <row r="84" spans="1:7" ht="14.25" customHeight="1">
      <c r="A84" s="1370" t="s">
        <v>342</v>
      </c>
      <c r="B84" s="1394">
        <v>129</v>
      </c>
      <c r="C84" s="1394">
        <f>'12'!$O$34</f>
        <v>129</v>
      </c>
      <c r="D84" s="1394">
        <f>'12'!$O$37</f>
        <v>129</v>
      </c>
      <c r="E84" s="1394">
        <f>'12'!$O$40</f>
        <v>129</v>
      </c>
      <c r="F84" s="1394">
        <f>'12'!$O$43</f>
        <v>129</v>
      </c>
      <c r="G84" s="1377" t="s">
        <v>343</v>
      </c>
    </row>
    <row r="85" spans="1:7" ht="14.25" customHeight="1">
      <c r="A85" s="1370" t="s">
        <v>344</v>
      </c>
      <c r="B85" s="684">
        <v>3626.2</v>
      </c>
      <c r="C85" s="684">
        <f>'12'!$L$34</f>
        <v>3626.2</v>
      </c>
      <c r="D85" s="684">
        <f>'12'!$L$37</f>
        <v>3626.2</v>
      </c>
      <c r="E85" s="684">
        <f>'12'!$L$40</f>
        <v>3626.2</v>
      </c>
      <c r="F85" s="684">
        <f>'12'!$L$43</f>
        <v>3908.2</v>
      </c>
      <c r="G85" s="1377" t="s">
        <v>345</v>
      </c>
    </row>
    <row r="86" spans="1:7" s="1354" customFormat="1" ht="20.25" customHeight="1">
      <c r="A86" s="1383" t="s">
        <v>346</v>
      </c>
      <c r="B86" s="1384"/>
      <c r="C86" s="1384"/>
      <c r="D86" s="1384"/>
      <c r="E86" s="1384"/>
      <c r="F86" s="1384"/>
      <c r="G86" s="1385" t="s">
        <v>347</v>
      </c>
    </row>
    <row r="87" spans="1:7" s="1354" customFormat="1" ht="20.25" customHeight="1">
      <c r="A87" s="1398"/>
      <c r="B87" s="1353"/>
      <c r="C87" s="1353"/>
      <c r="D87" s="1353"/>
      <c r="E87" s="1353"/>
      <c r="F87" s="1353"/>
      <c r="G87" s="1399"/>
    </row>
    <row r="88" spans="1:7" s="1354" customFormat="1" ht="20.25" customHeight="1">
      <c r="A88" s="1398"/>
      <c r="B88" s="1353"/>
      <c r="C88" s="1353"/>
      <c r="D88" s="1353"/>
      <c r="E88" s="1353"/>
      <c r="F88" s="1353"/>
      <c r="G88" s="1399"/>
    </row>
    <row r="89" spans="1:7" s="1354" customFormat="1" ht="20.25" customHeight="1">
      <c r="A89" s="1352" t="s">
        <v>233</v>
      </c>
      <c r="B89" s="1353"/>
      <c r="C89" s="1353"/>
      <c r="D89" s="1353"/>
      <c r="E89" s="1353"/>
      <c r="F89" s="1353"/>
      <c r="G89" s="1353"/>
    </row>
    <row r="90" spans="1:7" s="1354" customFormat="1" ht="18">
      <c r="A90" s="1355" t="s">
        <v>234</v>
      </c>
      <c r="B90" s="1353"/>
      <c r="C90" s="1353"/>
      <c r="D90" s="1353"/>
      <c r="E90" s="1353"/>
      <c r="F90" s="1353"/>
      <c r="G90" s="1353"/>
    </row>
    <row r="92" spans="1:7" s="1354" customFormat="1" ht="18" customHeight="1">
      <c r="A92" s="1356" t="s">
        <v>235</v>
      </c>
      <c r="B92" s="1357">
        <v>2023</v>
      </c>
      <c r="C92" s="1357">
        <v>2024</v>
      </c>
      <c r="D92" s="1357"/>
      <c r="E92" s="1357"/>
      <c r="F92" s="1357"/>
      <c r="G92" s="1358" t="s">
        <v>236</v>
      </c>
    </row>
    <row r="93" spans="1:7" s="1362" customFormat="1" ht="14.85" customHeight="1">
      <c r="A93" s="1359"/>
      <c r="B93" s="1360" t="s">
        <v>237</v>
      </c>
      <c r="C93" s="1360" t="s">
        <v>237</v>
      </c>
      <c r="D93" s="1360" t="s">
        <v>237</v>
      </c>
      <c r="E93" s="1360" t="s">
        <v>237</v>
      </c>
      <c r="F93" s="1360" t="s">
        <v>237</v>
      </c>
      <c r="G93" s="1361"/>
    </row>
    <row r="94" spans="1:7" s="1362" customFormat="1" ht="14.85" customHeight="1">
      <c r="A94" s="1359"/>
      <c r="B94" s="1363" t="s">
        <v>238</v>
      </c>
      <c r="C94" s="1363" t="str">
        <f t="shared" ref="C94" si="6">C6</f>
        <v>الأول</v>
      </c>
      <c r="D94" s="1363" t="str">
        <f t="shared" ref="D94:E94" si="7">D6</f>
        <v>الثاني</v>
      </c>
      <c r="E94" s="1363" t="str">
        <f t="shared" si="7"/>
        <v>الثالث</v>
      </c>
      <c r="F94" s="1363" t="str">
        <f t="shared" ref="F94" si="8">F6</f>
        <v>الرابع</v>
      </c>
      <c r="G94" s="1361"/>
    </row>
    <row r="95" spans="1:7" s="1354" customFormat="1" ht="14.85" customHeight="1">
      <c r="A95" s="1364"/>
      <c r="B95" s="1365" t="s">
        <v>242</v>
      </c>
      <c r="C95" s="1365" t="str">
        <f t="shared" ref="C95" si="9">C7</f>
        <v>Q1</v>
      </c>
      <c r="D95" s="1365" t="str">
        <f t="shared" ref="D95:E95" si="10">D7</f>
        <v>Q2</v>
      </c>
      <c r="E95" s="1365" t="str">
        <f t="shared" si="10"/>
        <v>Q3</v>
      </c>
      <c r="F95" s="1365" t="str">
        <f t="shared" ref="F95" si="11">F7</f>
        <v>Q4</v>
      </c>
      <c r="G95" s="1366"/>
    </row>
    <row r="96" spans="1:7" ht="20.25" customHeight="1">
      <c r="A96" s="1372" t="s">
        <v>348</v>
      </c>
      <c r="B96" s="1400"/>
      <c r="C96" s="1400"/>
      <c r="D96" s="1400"/>
      <c r="E96" s="1400"/>
      <c r="F96" s="1400"/>
      <c r="G96" s="1373" t="s">
        <v>349</v>
      </c>
    </row>
    <row r="97" spans="1:7" ht="14.25" customHeight="1">
      <c r="A97" s="1374" t="s">
        <v>166</v>
      </c>
      <c r="B97" s="1401">
        <v>0.376</v>
      </c>
      <c r="C97" s="1401">
        <f>'6'!$H$34</f>
        <v>0.376</v>
      </c>
      <c r="D97" s="1401">
        <f>'6'!$H$37</f>
        <v>0.376</v>
      </c>
      <c r="E97" s="1401">
        <f>'6'!$H$40</f>
        <v>0.376</v>
      </c>
      <c r="F97" s="1401">
        <f>'6'!$H$43</f>
        <v>0.376</v>
      </c>
      <c r="G97" s="1371" t="s">
        <v>350</v>
      </c>
    </row>
    <row r="98" spans="1:7" ht="14.25" customHeight="1">
      <c r="A98" s="1374" t="s">
        <v>351</v>
      </c>
      <c r="B98" s="1401">
        <v>0.47910000000000003</v>
      </c>
      <c r="C98" s="1401">
        <f>'6'!$I$34</f>
        <v>0.47480299999999998</v>
      </c>
      <c r="D98" s="1401">
        <f>'6'!$I$37</f>
        <v>0.47555500000000001</v>
      </c>
      <c r="E98" s="1401">
        <f>'6'!$I$40</f>
        <v>0.503328</v>
      </c>
      <c r="F98" s="1401">
        <f>'6'!$I$43</f>
        <v>0.47188799999999997</v>
      </c>
      <c r="G98" s="1371" t="s">
        <v>352</v>
      </c>
    </row>
    <row r="99" spans="1:7" ht="14.25" customHeight="1">
      <c r="A99" s="1374" t="s">
        <v>353</v>
      </c>
      <c r="B99" s="1401">
        <v>0.41660000000000003</v>
      </c>
      <c r="C99" s="1401">
        <f>'6'!$J$34</f>
        <v>0.40558499999999997</v>
      </c>
      <c r="D99" s="1401">
        <f>'6'!$J$37</f>
        <v>0.40291500000000002</v>
      </c>
      <c r="E99" s="1401">
        <f>'6'!$J$40</f>
        <v>0.42008299999999998</v>
      </c>
      <c r="F99" s="1401">
        <f>'6'!$J$43</f>
        <v>0.39125599999999999</v>
      </c>
      <c r="G99" s="1371" t="s">
        <v>354</v>
      </c>
    </row>
    <row r="100" spans="1:7" ht="14.25" customHeight="1">
      <c r="A100" s="1374" t="s">
        <v>550</v>
      </c>
      <c r="B100" s="1401">
        <v>2.6549999999999998E-3</v>
      </c>
      <c r="C100" s="1401">
        <f>'6'!$K$34</f>
        <v>2.4849999999999998E-3</v>
      </c>
      <c r="D100" s="1401">
        <f>'6'!$K$37</f>
        <v>2.3379999999999998E-3</v>
      </c>
      <c r="E100" s="1401">
        <f>'6'!$K$40</f>
        <v>2.6340000000000001E-3</v>
      </c>
      <c r="F100" s="1401">
        <f>'6'!$K$43</f>
        <v>2.3999999999999998E-3</v>
      </c>
      <c r="G100" s="1371" t="s">
        <v>1661</v>
      </c>
    </row>
    <row r="101" spans="1:7" ht="20.25" customHeight="1">
      <c r="A101" s="1372" t="s">
        <v>107</v>
      </c>
      <c r="B101" s="1392"/>
      <c r="C101" s="1392"/>
      <c r="D101" s="1392"/>
      <c r="E101" s="1392"/>
      <c r="F101" s="1392"/>
      <c r="G101" s="1373" t="s">
        <v>108</v>
      </c>
    </row>
    <row r="102" spans="1:7" ht="14.25" customHeight="1">
      <c r="A102" s="1374" t="s">
        <v>355</v>
      </c>
      <c r="B102" s="684">
        <v>1971.49</v>
      </c>
      <c r="C102" s="684">
        <f>'56'!$H$34</f>
        <v>2042.67</v>
      </c>
      <c r="D102" s="684">
        <f>'56'!$H$37</f>
        <v>2025.49</v>
      </c>
      <c r="E102" s="684">
        <f>'56'!$H$40</f>
        <v>2012.77</v>
      </c>
      <c r="F102" s="684">
        <f>'56'!$H$43</f>
        <v>1985.91</v>
      </c>
      <c r="G102" s="1371" t="s">
        <v>356</v>
      </c>
    </row>
    <row r="103" spans="1:7" ht="14.25" customHeight="1">
      <c r="A103" s="1374" t="s">
        <v>357</v>
      </c>
      <c r="B103" s="684">
        <v>7768.57</v>
      </c>
      <c r="C103" s="684">
        <f>'56'!$I$34</f>
        <v>8074.55</v>
      </c>
      <c r="D103" s="684">
        <f>'56'!$I$37</f>
        <v>8005.47</v>
      </c>
      <c r="E103" s="684">
        <f>'56'!$I$40</f>
        <v>7797.73</v>
      </c>
      <c r="F103" s="684">
        <f>'56'!$I$43</f>
        <v>7693.68</v>
      </c>
      <c r="G103" s="1371" t="s">
        <v>358</v>
      </c>
    </row>
    <row r="104" spans="1:7" ht="14.25" customHeight="1">
      <c r="A104" s="1370" t="s">
        <v>254</v>
      </c>
      <c r="B104" s="684">
        <v>2.0174814246730781</v>
      </c>
      <c r="C104" s="684">
        <f>(C103-B103)/B103%</f>
        <v>3.9386914193989431</v>
      </c>
      <c r="D104" s="684">
        <f>(D103-C103)/C103%</f>
        <v>-0.85552755261903046</v>
      </c>
      <c r="E104" s="684">
        <f>(E103-D103)/D103%</f>
        <v>-2.5949756853751333</v>
      </c>
      <c r="F104" s="684">
        <f>(F103-E103)/E103%</f>
        <v>-1.3343626927323629</v>
      </c>
      <c r="G104" s="1376" t="s">
        <v>1732</v>
      </c>
    </row>
    <row r="105" spans="1:7" ht="14.25" customHeight="1">
      <c r="A105" s="1374" t="s">
        <v>359</v>
      </c>
      <c r="B105" s="684">
        <v>20661.090425531915</v>
      </c>
      <c r="C105" s="684">
        <f>C103/0.376</f>
        <v>21474.867021276597</v>
      </c>
      <c r="D105" s="684">
        <f>D103/0.376</f>
        <v>21291.143617021276</v>
      </c>
      <c r="E105" s="684">
        <f>E103/0.376</f>
        <v>20738.643617021276</v>
      </c>
      <c r="F105" s="684">
        <f>F103/0.376</f>
        <v>20461.91489361702</v>
      </c>
      <c r="G105" s="1371" t="s">
        <v>360</v>
      </c>
    </row>
    <row r="106" spans="1:7" ht="20.25" customHeight="1">
      <c r="A106" s="1372" t="s">
        <v>361</v>
      </c>
      <c r="B106" s="1392"/>
      <c r="C106" s="1392"/>
      <c r="D106" s="1392"/>
      <c r="E106" s="1392"/>
      <c r="F106" s="1392"/>
      <c r="G106" s="1373" t="s">
        <v>362</v>
      </c>
    </row>
    <row r="107" spans="1:7" ht="14.25" customHeight="1">
      <c r="A107" s="1374" t="s">
        <v>363</v>
      </c>
      <c r="B107" s="684">
        <v>4585.5</v>
      </c>
      <c r="C107" s="684">
        <v>4286.6000000000004</v>
      </c>
      <c r="D107" s="684">
        <v>4377.1000000000004</v>
      </c>
      <c r="E107" s="684">
        <v>4342.2</v>
      </c>
      <c r="F107" s="684"/>
      <c r="G107" s="1371" t="s">
        <v>364</v>
      </c>
    </row>
    <row r="108" spans="1:7" ht="14.25" hidden="1" customHeight="1">
      <c r="A108" s="1402" t="s">
        <v>365</v>
      </c>
      <c r="B108" s="1403"/>
      <c r="C108" s="1403"/>
      <c r="D108" s="1403"/>
      <c r="E108" s="1403"/>
      <c r="F108" s="1403"/>
      <c r="G108" s="1395" t="s">
        <v>366</v>
      </c>
    </row>
    <row r="109" spans="1:7" ht="20.25" customHeight="1">
      <c r="A109" s="1404" t="s">
        <v>367</v>
      </c>
      <c r="B109" s="380"/>
      <c r="C109" s="380"/>
      <c r="D109" s="380"/>
      <c r="E109" s="380"/>
      <c r="F109" s="380"/>
      <c r="G109" s="1405" t="s">
        <v>368</v>
      </c>
    </row>
    <row r="110" spans="1:7">
      <c r="A110" s="1406"/>
      <c r="G110" s="1407"/>
    </row>
    <row r="111" spans="1:7">
      <c r="G111" s="1408"/>
    </row>
    <row r="121" spans="2:6">
      <c r="B121" s="1115"/>
      <c r="C121" s="1115"/>
      <c r="D121" s="1115"/>
      <c r="E121" s="1115"/>
      <c r="F121" s="1115"/>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6" activePane="bottomLeft" state="frozen"/>
      <selection activeCell="B12" sqref="B12"/>
      <selection pane="bottomLeft" activeCell="O36" sqref="O36"/>
    </sheetView>
  </sheetViews>
  <sheetFormatPr defaultRowHeight="12.75"/>
  <cols>
    <col min="1" max="2" width="9.7109375" style="25" customWidth="1"/>
    <col min="3" max="3" width="10.28515625" style="25" customWidth="1"/>
    <col min="4" max="4" width="12.7109375" style="25" customWidth="1"/>
    <col min="5" max="5" width="14" style="25" customWidth="1"/>
    <col min="6" max="6" width="14.7109375" style="25" customWidth="1"/>
    <col min="7" max="7" width="8.85546875" style="25" customWidth="1"/>
    <col min="8" max="8" width="12" style="25" customWidth="1"/>
    <col min="9" max="9" width="10.42578125" style="25" customWidth="1"/>
    <col min="10" max="10" width="12.7109375" style="25" customWidth="1"/>
    <col min="11" max="11" width="14" style="25" customWidth="1"/>
    <col min="12" max="12" width="12.7109375" style="25" customWidth="1"/>
    <col min="13" max="13" width="9" style="25" customWidth="1"/>
    <col min="14" max="14" width="10.7109375" style="25" customWidth="1"/>
    <col min="15" max="15" width="12.7109375" style="25" customWidth="1"/>
    <col min="16" max="16" width="10.7109375" style="25" customWidth="1"/>
    <col min="17" max="16384" width="9.140625" style="25"/>
  </cols>
  <sheetData>
    <row r="1" spans="1:19" s="8" customFormat="1" ht="18" customHeight="1">
      <c r="A1" s="1747" t="s">
        <v>1767</v>
      </c>
      <c r="B1" s="10"/>
      <c r="C1" s="10"/>
      <c r="D1" s="10"/>
      <c r="E1" s="10"/>
      <c r="F1" s="10"/>
      <c r="G1" s="10"/>
      <c r="H1" s="10"/>
      <c r="I1" s="10"/>
      <c r="J1" s="10"/>
      <c r="K1" s="10"/>
      <c r="L1" s="10"/>
      <c r="M1" s="10"/>
      <c r="N1" s="10"/>
      <c r="O1" s="10"/>
      <c r="P1" s="10"/>
    </row>
    <row r="2" spans="1:19" s="8" customFormat="1" ht="18" customHeight="1">
      <c r="A2" s="1745" t="s">
        <v>986</v>
      </c>
      <c r="B2" s="1746"/>
      <c r="C2" s="1746"/>
      <c r="D2" s="1746"/>
      <c r="E2" s="1746"/>
      <c r="F2" s="1746"/>
      <c r="G2" s="1746"/>
      <c r="H2" s="1746"/>
      <c r="I2" s="1746"/>
      <c r="J2" s="1746"/>
      <c r="K2" s="1746"/>
      <c r="L2" s="1746"/>
      <c r="M2" s="1746"/>
      <c r="N2" s="1746"/>
      <c r="O2" s="1746"/>
      <c r="P2" s="1746"/>
    </row>
    <row r="3" spans="1:19" s="8" customFormat="1" ht="18" customHeight="1">
      <c r="A3" s="1747" t="s">
        <v>987</v>
      </c>
      <c r="B3" s="1746"/>
      <c r="C3" s="1746"/>
      <c r="D3" s="1746"/>
      <c r="E3" s="1746"/>
      <c r="F3" s="1746"/>
      <c r="G3" s="1746"/>
      <c r="H3" s="1746"/>
      <c r="I3" s="1746"/>
      <c r="J3" s="1746"/>
      <c r="K3" s="1746"/>
      <c r="L3" s="1746"/>
      <c r="M3" s="1746"/>
      <c r="N3" s="1746"/>
      <c r="O3" s="1746"/>
      <c r="P3" s="1746"/>
    </row>
    <row r="4" spans="1:19" s="8" customFormat="1" ht="18" customHeight="1">
      <c r="A4" s="16" t="s">
        <v>1016</v>
      </c>
      <c r="B4" s="10"/>
      <c r="C4" s="10"/>
      <c r="D4" s="10"/>
      <c r="E4" s="10"/>
      <c r="F4" s="10"/>
      <c r="G4" s="10"/>
      <c r="H4" s="10"/>
      <c r="I4" s="10"/>
      <c r="J4" s="10"/>
      <c r="K4" s="10"/>
      <c r="L4" s="10"/>
      <c r="M4" s="10"/>
      <c r="N4" s="10"/>
      <c r="O4" s="10"/>
      <c r="P4" s="10"/>
    </row>
    <row r="5" spans="1:19" ht="20.25" customHeight="1">
      <c r="A5" s="1748" t="s">
        <v>1017</v>
      </c>
      <c r="B5" s="3"/>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264" t="s">
        <v>795</v>
      </c>
      <c r="D7" s="40"/>
      <c r="E7" s="123"/>
      <c r="F7" s="123"/>
      <c r="G7" s="123"/>
      <c r="H7" s="1749" t="s">
        <v>796</v>
      </c>
      <c r="I7" s="1750" t="s">
        <v>1018</v>
      </c>
      <c r="J7" s="122"/>
      <c r="K7" s="123"/>
      <c r="L7" s="123"/>
      <c r="M7" s="123"/>
      <c r="N7" s="1749" t="s">
        <v>1019</v>
      </c>
      <c r="O7" s="1751"/>
      <c r="P7" s="1751"/>
    </row>
    <row r="8" spans="1:19" s="39" customFormat="1" ht="16.5" customHeight="1">
      <c r="A8" s="370" t="s">
        <v>383</v>
      </c>
      <c r="B8" s="81"/>
      <c r="D8" s="270" t="s">
        <v>504</v>
      </c>
      <c r="E8" s="270"/>
      <c r="F8" s="270" t="s">
        <v>390</v>
      </c>
      <c r="G8" s="371"/>
      <c r="I8" s="270"/>
      <c r="J8" s="270"/>
      <c r="K8" s="371" t="s">
        <v>994</v>
      </c>
      <c r="L8" s="270" t="s">
        <v>390</v>
      </c>
      <c r="M8" s="372"/>
      <c r="O8" s="63" t="s">
        <v>798</v>
      </c>
      <c r="P8" s="270" t="s">
        <v>995</v>
      </c>
    </row>
    <row r="9" spans="1:19" s="39" customFormat="1" ht="16.5" customHeight="1">
      <c r="A9" s="62" t="s">
        <v>391</v>
      </c>
      <c r="B9" s="74"/>
      <c r="C9" s="270" t="s">
        <v>436</v>
      </c>
      <c r="D9" s="271" t="s">
        <v>759</v>
      </c>
      <c r="E9" s="271" t="s">
        <v>395</v>
      </c>
      <c r="F9" s="271" t="s">
        <v>1020</v>
      </c>
      <c r="G9" s="95" t="s">
        <v>760</v>
      </c>
      <c r="H9" s="270" t="s">
        <v>1021</v>
      </c>
      <c r="I9" s="270" t="s">
        <v>436</v>
      </c>
      <c r="J9" s="79" t="s">
        <v>815</v>
      </c>
      <c r="K9" s="270" t="s">
        <v>996</v>
      </c>
      <c r="L9" s="271" t="s">
        <v>1020</v>
      </c>
      <c r="M9" s="372" t="s">
        <v>396</v>
      </c>
      <c r="N9" s="270" t="s">
        <v>386</v>
      </c>
      <c r="O9" s="270" t="s">
        <v>378</v>
      </c>
      <c r="P9" s="63" t="s">
        <v>997</v>
      </c>
    </row>
    <row r="10" spans="1:19" s="39" customFormat="1" ht="16.5" customHeight="1">
      <c r="A10" s="82"/>
      <c r="B10" s="74"/>
      <c r="C10" s="374"/>
      <c r="D10" s="107" t="s">
        <v>762</v>
      </c>
      <c r="E10" s="107" t="s">
        <v>471</v>
      </c>
      <c r="F10" s="107" t="s">
        <v>408</v>
      </c>
      <c r="G10" s="383"/>
      <c r="H10" s="228"/>
      <c r="I10" s="374"/>
      <c r="J10" s="107"/>
      <c r="K10" s="228" t="s">
        <v>1000</v>
      </c>
      <c r="L10" s="107" t="s">
        <v>408</v>
      </c>
      <c r="M10" s="375"/>
      <c r="N10" s="228"/>
      <c r="O10" s="374" t="s">
        <v>397</v>
      </c>
      <c r="P10" s="374" t="s">
        <v>1001</v>
      </c>
    </row>
    <row r="11" spans="1:19" s="39" customFormat="1" ht="16.5" customHeight="1">
      <c r="A11" s="82"/>
      <c r="B11" s="74"/>
      <c r="C11" s="374" t="s">
        <v>410</v>
      </c>
      <c r="D11" s="107" t="s">
        <v>763</v>
      </c>
      <c r="E11" s="107" t="s">
        <v>510</v>
      </c>
      <c r="F11" s="107" t="s">
        <v>415</v>
      </c>
      <c r="G11" s="107" t="s">
        <v>404</v>
      </c>
      <c r="H11" s="228" t="s">
        <v>397</v>
      </c>
      <c r="I11" s="228" t="s">
        <v>410</v>
      </c>
      <c r="J11" s="107" t="s">
        <v>763</v>
      </c>
      <c r="K11" s="63" t="s">
        <v>1005</v>
      </c>
      <c r="L11" s="107" t="s">
        <v>415</v>
      </c>
      <c r="M11" s="375" t="s">
        <v>404</v>
      </c>
      <c r="N11" s="228" t="s">
        <v>397</v>
      </c>
      <c r="O11" s="228" t="s">
        <v>377</v>
      </c>
      <c r="P11" s="228" t="s">
        <v>740</v>
      </c>
    </row>
    <row r="12" spans="1:19" s="39" customFormat="1" ht="16.5" customHeight="1">
      <c r="A12" s="87"/>
      <c r="B12" s="98"/>
      <c r="C12" s="378" t="s">
        <v>786</v>
      </c>
      <c r="D12" s="139"/>
      <c r="E12" s="379"/>
      <c r="F12" s="384"/>
      <c r="G12" s="139"/>
      <c r="H12" s="138"/>
      <c r="I12" s="138"/>
      <c r="J12" s="139"/>
      <c r="K12" s="130"/>
      <c r="L12" s="117"/>
      <c r="M12" s="139"/>
      <c r="N12" s="138"/>
      <c r="O12" s="138" t="s">
        <v>785</v>
      </c>
      <c r="P12" s="138" t="s">
        <v>1006</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828">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828">
        <v>4.0000000000000001E-3</v>
      </c>
      <c r="L15" s="791">
        <v>2.96</v>
      </c>
      <c r="M15" s="649">
        <v>1.71</v>
      </c>
      <c r="N15" s="758">
        <v>359.46100000000001</v>
      </c>
      <c r="O15" s="760">
        <v>1294.2679207499718</v>
      </c>
      <c r="P15" s="799">
        <v>0</v>
      </c>
      <c r="Q15" s="321"/>
      <c r="R15" s="321"/>
      <c r="S15" s="321"/>
    </row>
    <row r="16" spans="1:19" s="306" customFormat="1" ht="14.25" customHeight="1">
      <c r="A16" s="405">
        <v>2018</v>
      </c>
      <c r="B16" s="1148"/>
      <c r="C16" s="1149">
        <v>519.93153725181548</v>
      </c>
      <c r="D16" s="1232">
        <v>53.591862137000007</v>
      </c>
      <c r="E16" s="1150">
        <v>222.623177791442</v>
      </c>
      <c r="F16" s="1151">
        <v>96.1531377137063</v>
      </c>
      <c r="G16" s="1152">
        <v>14.426666385293691</v>
      </c>
      <c r="H16" s="1149">
        <v>906.72638127925745</v>
      </c>
      <c r="I16" s="1149">
        <v>398.91481880213291</v>
      </c>
      <c r="J16" s="1153">
        <v>42.621000000000002</v>
      </c>
      <c r="K16" s="1154">
        <v>4.0000000000000001E-3</v>
      </c>
      <c r="L16" s="1153">
        <v>4.5670000000000002</v>
      </c>
      <c r="M16" s="1155">
        <v>5.2221811978670498</v>
      </c>
      <c r="N16" s="1156">
        <v>451.32900000000001</v>
      </c>
      <c r="O16" s="1157">
        <v>1358.0353812792571</v>
      </c>
      <c r="P16" s="799">
        <v>0</v>
      </c>
      <c r="Q16" s="321"/>
      <c r="R16" s="321"/>
      <c r="S16" s="321"/>
    </row>
    <row r="17" spans="1:19" s="306" customFormat="1" ht="14.25" customHeight="1">
      <c r="A17" s="405">
        <v>2019</v>
      </c>
      <c r="B17" s="1148"/>
      <c r="C17" s="1149">
        <v>378.85739584516273</v>
      </c>
      <c r="D17" s="1232">
        <v>92.72399999999999</v>
      </c>
      <c r="E17" s="1150">
        <v>211.31852858888487</v>
      </c>
      <c r="F17" s="1151">
        <v>129.88868868643104</v>
      </c>
      <c r="G17" s="1152">
        <v>32.53535316127536</v>
      </c>
      <c r="H17" s="1149">
        <v>845.31396628175412</v>
      </c>
      <c r="I17" s="1149">
        <v>418.69491924500005</v>
      </c>
      <c r="J17" s="1153">
        <v>141.69500000000002</v>
      </c>
      <c r="K17" s="1154">
        <v>0</v>
      </c>
      <c r="L17" s="1153">
        <v>3.871</v>
      </c>
      <c r="M17" s="1155">
        <v>5.4079056029999997</v>
      </c>
      <c r="N17" s="1156">
        <v>569.66882484799987</v>
      </c>
      <c r="O17" s="1157">
        <v>1414.9827911297541</v>
      </c>
      <c r="P17" s="799">
        <v>0</v>
      </c>
      <c r="Q17" s="321"/>
      <c r="R17" s="321"/>
      <c r="S17" s="321"/>
    </row>
    <row r="18" spans="1:19" s="306" customFormat="1" ht="14.25" customHeight="1">
      <c r="A18" s="405">
        <v>2020</v>
      </c>
      <c r="B18" s="1148"/>
      <c r="C18" s="1149">
        <v>228.1280877787494</v>
      </c>
      <c r="D18" s="1232">
        <v>148.49605688999998</v>
      </c>
      <c r="E18" s="1150">
        <v>8.4</v>
      </c>
      <c r="F18" s="1151">
        <v>339.05228947759099</v>
      </c>
      <c r="G18" s="1152">
        <v>13.332620790098257</v>
      </c>
      <c r="H18" s="1149">
        <v>737.40905493643868</v>
      </c>
      <c r="I18" s="1149">
        <v>354.89112462628555</v>
      </c>
      <c r="J18" s="1153">
        <v>342.63294310999999</v>
      </c>
      <c r="K18" s="1154">
        <v>0</v>
      </c>
      <c r="L18" s="1153">
        <v>2.82</v>
      </c>
      <c r="M18" s="1155">
        <v>3.66</v>
      </c>
      <c r="N18" s="1156">
        <v>703.98406773628562</v>
      </c>
      <c r="O18" s="1157">
        <v>1441.3931226727243</v>
      </c>
      <c r="P18" s="799">
        <v>0</v>
      </c>
      <c r="Q18" s="321"/>
      <c r="R18" s="321"/>
      <c r="S18" s="321"/>
    </row>
    <row r="19" spans="1:19" s="306" customFormat="1" ht="14.25" customHeight="1">
      <c r="A19" s="405">
        <v>2021</v>
      </c>
      <c r="B19" s="1148"/>
      <c r="C19" s="1149">
        <v>277.99867975620919</v>
      </c>
      <c r="D19" s="1232">
        <v>117.62103641215771</v>
      </c>
      <c r="E19" s="1150">
        <v>6.3933975969999999</v>
      </c>
      <c r="F19" s="1151">
        <v>324.36147645317482</v>
      </c>
      <c r="G19" s="1152">
        <v>10.613990665393281</v>
      </c>
      <c r="H19" s="1149">
        <v>736.95858088393493</v>
      </c>
      <c r="I19" s="1149">
        <v>416.810991153656</v>
      </c>
      <c r="J19" s="1153">
        <v>236.86749219067937</v>
      </c>
      <c r="K19" s="1154">
        <v>0</v>
      </c>
      <c r="L19" s="1153">
        <v>6.3109999999999999</v>
      </c>
      <c r="M19" s="1155">
        <v>0.90318670012999969</v>
      </c>
      <c r="N19" s="1156">
        <v>660.89267004446538</v>
      </c>
      <c r="O19" s="1157">
        <v>1397.8512509284005</v>
      </c>
      <c r="P19" s="799">
        <v>0</v>
      </c>
      <c r="Q19" s="321"/>
      <c r="R19" s="321"/>
      <c r="S19" s="321"/>
    </row>
    <row r="20" spans="1:19" s="306" customFormat="1" ht="14.25" customHeight="1">
      <c r="A20" s="405">
        <v>2022</v>
      </c>
      <c r="B20" s="1148"/>
      <c r="C20" s="1149">
        <v>228.4913319768329</v>
      </c>
      <c r="D20" s="1200">
        <v>133.21857988603119</v>
      </c>
      <c r="E20" s="1150">
        <v>8.2460211609999998</v>
      </c>
      <c r="F20" s="1151">
        <v>357.9819663373674</v>
      </c>
      <c r="G20" s="1152">
        <v>30.954315245116842</v>
      </c>
      <c r="H20" s="1149">
        <v>758.89221460634826</v>
      </c>
      <c r="I20" s="1149">
        <v>832.00806159510489</v>
      </c>
      <c r="J20" s="1153">
        <v>351.82746053888661</v>
      </c>
      <c r="K20" s="1154">
        <v>0</v>
      </c>
      <c r="L20" s="1153">
        <v>9.5890000000000004</v>
      </c>
      <c r="M20" s="1155">
        <v>17.822329622760012</v>
      </c>
      <c r="N20" s="1156">
        <v>1211.2468517567513</v>
      </c>
      <c r="O20" s="1157">
        <v>1970.1390663630996</v>
      </c>
      <c r="P20" s="799">
        <v>0</v>
      </c>
      <c r="Q20" s="321"/>
      <c r="R20" s="321"/>
      <c r="S20" s="321"/>
    </row>
    <row r="21" spans="1:19" s="306" customFormat="1" ht="14.25" customHeight="1">
      <c r="A21" s="405">
        <v>2023</v>
      </c>
      <c r="B21" s="1148"/>
      <c r="C21" s="1149">
        <f t="shared" ref="C21:P21" si="0">C26</f>
        <v>1577.348384469715</v>
      </c>
      <c r="D21" s="1232">
        <f t="shared" si="0"/>
        <v>2085.1103111051216</v>
      </c>
      <c r="E21" s="1150">
        <f t="shared" si="0"/>
        <v>124.01586736534</v>
      </c>
      <c r="F21" s="1151">
        <f t="shared" si="0"/>
        <v>892.65165115634807</v>
      </c>
      <c r="G21" s="1152">
        <f t="shared" si="0"/>
        <v>89.052429943505132</v>
      </c>
      <c r="H21" s="1149">
        <f t="shared" si="0"/>
        <v>4768.1786440400301</v>
      </c>
      <c r="I21" s="1149">
        <f t="shared" si="0"/>
        <v>1334.4313168326421</v>
      </c>
      <c r="J21" s="1153">
        <f t="shared" si="0"/>
        <v>957.14572534161687</v>
      </c>
      <c r="K21" s="1154">
        <f t="shared" si="0"/>
        <v>0</v>
      </c>
      <c r="L21" s="1153">
        <f t="shared" si="0"/>
        <v>1347.8860116270198</v>
      </c>
      <c r="M21" s="1155">
        <f t="shared" si="0"/>
        <v>91.985524963642305</v>
      </c>
      <c r="N21" s="1156">
        <f t="shared" si="0"/>
        <v>3731.4485787649201</v>
      </c>
      <c r="O21" s="1157">
        <f t="shared" si="0"/>
        <v>8499.6272228049511</v>
      </c>
      <c r="P21" s="799">
        <f t="shared" si="0"/>
        <v>0</v>
      </c>
      <c r="Q21" s="321"/>
      <c r="R21" s="321"/>
      <c r="S21" s="321"/>
    </row>
    <row r="22" spans="1:19" s="306" customFormat="1" ht="14.25" customHeight="1">
      <c r="A22" s="732">
        <v>2024</v>
      </c>
      <c r="B22" s="1043"/>
      <c r="C22" s="1044">
        <f t="shared" ref="C22:P22" si="1">C30</f>
        <v>226.53072441698077</v>
      </c>
      <c r="D22" s="1045">
        <f t="shared" si="1"/>
        <v>59.887828264590297</v>
      </c>
      <c r="E22" s="1329">
        <f t="shared" si="1"/>
        <v>96.943428811029989</v>
      </c>
      <c r="F22" s="1046">
        <f t="shared" si="1"/>
        <v>217.67840153944951</v>
      </c>
      <c r="G22" s="1047">
        <f t="shared" si="1"/>
        <v>0.76622926499999999</v>
      </c>
      <c r="H22" s="1044">
        <f t="shared" si="1"/>
        <v>601.77661229705063</v>
      </c>
      <c r="I22" s="1044">
        <f t="shared" si="1"/>
        <v>63.241424999914308</v>
      </c>
      <c r="J22" s="1048">
        <f t="shared" si="1"/>
        <v>0.96561100831000701</v>
      </c>
      <c r="K22" s="1049">
        <f t="shared" si="1"/>
        <v>0</v>
      </c>
      <c r="L22" s="1048">
        <f t="shared" si="1"/>
        <v>3.71</v>
      </c>
      <c r="M22" s="1050">
        <f t="shared" si="1"/>
        <v>0</v>
      </c>
      <c r="N22" s="1051">
        <f t="shared" si="1"/>
        <v>67.917036008224315</v>
      </c>
      <c r="O22" s="1052">
        <f t="shared" si="1"/>
        <v>669.69364830527491</v>
      </c>
      <c r="P22" s="1053">
        <f t="shared" si="1"/>
        <v>0</v>
      </c>
      <c r="Q22" s="321"/>
      <c r="R22" s="321"/>
      <c r="S22" s="321"/>
    </row>
    <row r="23" spans="1:19" s="306" customFormat="1" ht="21" customHeight="1">
      <c r="A23" s="405">
        <v>2023</v>
      </c>
      <c r="B23" s="771" t="s">
        <v>243</v>
      </c>
      <c r="C23" s="786">
        <v>1913.5823424253874</v>
      </c>
      <c r="D23" s="756">
        <v>85.489888831499201</v>
      </c>
      <c r="E23" s="1829">
        <v>4.0117895970000008</v>
      </c>
      <c r="F23" s="1165">
        <v>398.4014991100986</v>
      </c>
      <c r="G23" s="1830">
        <v>22.940974347321202</v>
      </c>
      <c r="H23" s="786">
        <v>2424.4364943113064</v>
      </c>
      <c r="I23" s="786">
        <v>833.44686656526983</v>
      </c>
      <c r="J23" s="798">
        <v>439.56869560932159</v>
      </c>
      <c r="K23" s="1831">
        <v>0</v>
      </c>
      <c r="L23" s="798">
        <v>10.516</v>
      </c>
      <c r="M23" s="772">
        <v>11.547128713509995</v>
      </c>
      <c r="N23" s="1832">
        <v>1294.9585821485614</v>
      </c>
      <c r="O23" s="760">
        <v>3719.3850764598674</v>
      </c>
      <c r="P23" s="799">
        <v>0</v>
      </c>
      <c r="Q23" s="321"/>
      <c r="R23" s="321"/>
      <c r="S23" s="321"/>
    </row>
    <row r="24" spans="1:19" s="306" customFormat="1" ht="15">
      <c r="A24" s="405"/>
      <c r="B24" s="771" t="s">
        <v>244</v>
      </c>
      <c r="C24" s="786">
        <v>2619.7532156610355</v>
      </c>
      <c r="D24" s="756">
        <v>205.91882318561179</v>
      </c>
      <c r="E24" s="1829">
        <v>26.780165023999999</v>
      </c>
      <c r="F24" s="1165">
        <v>388.21859111093636</v>
      </c>
      <c r="G24" s="1830">
        <v>-0.20246511687907265</v>
      </c>
      <c r="H24" s="786">
        <v>3240.4583298647044</v>
      </c>
      <c r="I24" s="786">
        <v>815.74436323868326</v>
      </c>
      <c r="J24" s="798">
        <v>474.93862512955724</v>
      </c>
      <c r="K24" s="1831">
        <v>0</v>
      </c>
      <c r="L24" s="798">
        <v>56.843000000000004</v>
      </c>
      <c r="M24" s="772">
        <v>14.450462372840002</v>
      </c>
      <c r="N24" s="1832">
        <v>1361.9064268440202</v>
      </c>
      <c r="O24" s="760">
        <v>4602.3647567087255</v>
      </c>
      <c r="P24" s="799">
        <v>0</v>
      </c>
      <c r="Q24" s="321"/>
      <c r="R24" s="321"/>
      <c r="S24" s="321"/>
    </row>
    <row r="25" spans="1:19" s="306" customFormat="1" ht="15">
      <c r="A25" s="405"/>
      <c r="B25" s="771" t="s">
        <v>245</v>
      </c>
      <c r="C25" s="786">
        <v>2923.3585439841227</v>
      </c>
      <c r="D25" s="1167">
        <v>498.59462441003558</v>
      </c>
      <c r="E25" s="1130">
        <v>40.419379405000001</v>
      </c>
      <c r="F25" s="1165">
        <v>468.30034867195252</v>
      </c>
      <c r="G25" s="1830">
        <v>9.6247993184384271</v>
      </c>
      <c r="H25" s="786">
        <v>3940.2676957895492</v>
      </c>
      <c r="I25" s="786">
        <v>1177.6894732660089</v>
      </c>
      <c r="J25" s="798">
        <v>652.4700058605066</v>
      </c>
      <c r="K25" s="1831">
        <v>0</v>
      </c>
      <c r="L25" s="798">
        <v>57.587000000000003</v>
      </c>
      <c r="M25" s="772">
        <v>12.945102432979093</v>
      </c>
      <c r="N25" s="1832">
        <v>1900.6915815594944</v>
      </c>
      <c r="O25" s="760">
        <v>5840.959277349044</v>
      </c>
      <c r="P25" s="799">
        <v>32.062349648353482</v>
      </c>
      <c r="Q25" s="321"/>
      <c r="R25" s="321"/>
      <c r="S25" s="321"/>
    </row>
    <row r="26" spans="1:19" s="306" customFormat="1" ht="15">
      <c r="A26" s="405"/>
      <c r="B26" s="771" t="s">
        <v>242</v>
      </c>
      <c r="C26" s="786">
        <v>1577.348384469715</v>
      </c>
      <c r="D26" s="756">
        <v>2085.1103111051216</v>
      </c>
      <c r="E26" s="1829">
        <v>124.01586736534</v>
      </c>
      <c r="F26" s="1165">
        <v>892.65165115634807</v>
      </c>
      <c r="G26" s="1830">
        <v>89.052429943505132</v>
      </c>
      <c r="H26" s="786">
        <v>4768.1786440400301</v>
      </c>
      <c r="I26" s="786">
        <v>1334.4313168326421</v>
      </c>
      <c r="J26" s="798">
        <v>957.14572534161687</v>
      </c>
      <c r="K26" s="1831">
        <v>0</v>
      </c>
      <c r="L26" s="798">
        <v>1347.8860116270198</v>
      </c>
      <c r="M26" s="772">
        <v>91.985524963642305</v>
      </c>
      <c r="N26" s="1832">
        <v>3731.4485787649201</v>
      </c>
      <c r="O26" s="760">
        <v>8499.6272228049511</v>
      </c>
      <c r="P26" s="799">
        <v>0</v>
      </c>
      <c r="Q26" s="321"/>
      <c r="R26" s="321"/>
      <c r="S26" s="321"/>
    </row>
    <row r="27" spans="1:19" s="306" customFormat="1" ht="21" customHeight="1">
      <c r="A27" s="405">
        <v>2024</v>
      </c>
      <c r="B27" s="771" t="s">
        <v>243</v>
      </c>
      <c r="C27" s="786">
        <f t="shared" ref="C27:P27" si="2">C34</f>
        <v>145.36862129256599</v>
      </c>
      <c r="D27" s="756">
        <f t="shared" si="2"/>
        <v>49.493308282580003</v>
      </c>
      <c r="E27" s="1829">
        <f t="shared" si="2"/>
        <v>63.443607684999996</v>
      </c>
      <c r="F27" s="1165">
        <f t="shared" si="2"/>
        <v>276.69169169444945</v>
      </c>
      <c r="G27" s="1830">
        <f t="shared" si="2"/>
        <v>9.9998420000000005E-2</v>
      </c>
      <c r="H27" s="786">
        <f t="shared" si="2"/>
        <v>535.11722737459536</v>
      </c>
      <c r="I27" s="786">
        <f t="shared" si="2"/>
        <v>0.374</v>
      </c>
      <c r="J27" s="798">
        <f t="shared" si="2"/>
        <v>2.6265506732499997</v>
      </c>
      <c r="K27" s="1831">
        <f t="shared" si="2"/>
        <v>0</v>
      </c>
      <c r="L27" s="798">
        <f t="shared" si="2"/>
        <v>14.555</v>
      </c>
      <c r="M27" s="772">
        <f t="shared" si="2"/>
        <v>0</v>
      </c>
      <c r="N27" s="1832">
        <f t="shared" si="2"/>
        <v>17.55555067325</v>
      </c>
      <c r="O27" s="760">
        <f t="shared" si="2"/>
        <v>552.67277804784544</v>
      </c>
      <c r="P27" s="799">
        <f t="shared" si="2"/>
        <v>0</v>
      </c>
      <c r="Q27" s="321"/>
      <c r="R27" s="321"/>
      <c r="S27" s="321"/>
    </row>
    <row r="28" spans="1:19" s="306" customFormat="1" ht="15" customHeight="1">
      <c r="A28" s="405"/>
      <c r="B28" s="771" t="s">
        <v>244</v>
      </c>
      <c r="C28" s="786">
        <f t="shared" ref="C28:P28" si="3">C37</f>
        <v>135.64840469074755</v>
      </c>
      <c r="D28" s="756">
        <f t="shared" si="3"/>
        <v>58.310438000000005</v>
      </c>
      <c r="E28" s="1829">
        <f t="shared" si="3"/>
        <v>42.102060999999999</v>
      </c>
      <c r="F28" s="1165">
        <f t="shared" si="3"/>
        <v>251.28838334939712</v>
      </c>
      <c r="G28" s="1830">
        <f t="shared" si="3"/>
        <v>0.10734068400000002</v>
      </c>
      <c r="H28" s="786">
        <f t="shared" si="3"/>
        <v>487.43662772414478</v>
      </c>
      <c r="I28" s="786">
        <f t="shared" si="3"/>
        <v>63.087414202319977</v>
      </c>
      <c r="J28" s="798">
        <f t="shared" si="3"/>
        <v>1.3962403492100053</v>
      </c>
      <c r="K28" s="1831">
        <f t="shared" si="3"/>
        <v>0</v>
      </c>
      <c r="L28" s="798">
        <f t="shared" si="3"/>
        <v>15.481999999999999</v>
      </c>
      <c r="M28" s="772">
        <f t="shared" si="3"/>
        <v>0</v>
      </c>
      <c r="N28" s="1832">
        <f t="shared" si="3"/>
        <v>79.965654551529965</v>
      </c>
      <c r="O28" s="760">
        <f t="shared" si="3"/>
        <v>567.42228227567466</v>
      </c>
      <c r="P28" s="799">
        <f t="shared" si="3"/>
        <v>0</v>
      </c>
      <c r="Q28" s="321"/>
      <c r="R28" s="321"/>
      <c r="S28" s="321"/>
    </row>
    <row r="29" spans="1:19" s="306" customFormat="1" ht="15" customHeight="1">
      <c r="A29" s="405"/>
      <c r="B29" s="771" t="s">
        <v>245</v>
      </c>
      <c r="C29" s="786">
        <f t="shared" ref="C29:P29" si="4">C40</f>
        <v>170.43236786383912</v>
      </c>
      <c r="D29" s="756">
        <f t="shared" si="4"/>
        <v>57.727215808250065</v>
      </c>
      <c r="E29" s="1829">
        <f t="shared" si="4"/>
        <v>100.44834223101</v>
      </c>
      <c r="F29" s="1165">
        <f t="shared" si="4"/>
        <v>253.21181926896062</v>
      </c>
      <c r="G29" s="1830">
        <f t="shared" si="4"/>
        <v>0.65</v>
      </c>
      <c r="H29" s="786">
        <f t="shared" si="4"/>
        <v>582.44179765905983</v>
      </c>
      <c r="I29" s="786">
        <f t="shared" si="4"/>
        <v>62.810804690347886</v>
      </c>
      <c r="J29" s="798">
        <f t="shared" si="4"/>
        <v>1.6912774212199981</v>
      </c>
      <c r="K29" s="1831">
        <f t="shared" si="4"/>
        <v>0</v>
      </c>
      <c r="L29" s="798">
        <f t="shared" si="4"/>
        <v>3.1789999999999998</v>
      </c>
      <c r="M29" s="772">
        <f t="shared" si="4"/>
        <v>0</v>
      </c>
      <c r="N29" s="1832">
        <f t="shared" si="4"/>
        <v>67.681082111567889</v>
      </c>
      <c r="O29" s="760">
        <f t="shared" si="4"/>
        <v>650.1428797706277</v>
      </c>
      <c r="P29" s="799">
        <f t="shared" si="4"/>
        <v>0</v>
      </c>
      <c r="Q29" s="321"/>
      <c r="R29" s="321"/>
      <c r="S29" s="321"/>
    </row>
    <row r="30" spans="1:19" s="306" customFormat="1" ht="15" customHeight="1">
      <c r="A30" s="732"/>
      <c r="B30" s="1025" t="s">
        <v>242</v>
      </c>
      <c r="C30" s="1833">
        <f t="shared" ref="C30:P30" si="5">C43</f>
        <v>226.53072441698077</v>
      </c>
      <c r="D30" s="1834">
        <f t="shared" si="5"/>
        <v>59.887828264590297</v>
      </c>
      <c r="E30" s="1835">
        <f t="shared" si="5"/>
        <v>96.943428811029989</v>
      </c>
      <c r="F30" s="1068">
        <f t="shared" si="5"/>
        <v>217.67840153944951</v>
      </c>
      <c r="G30" s="1836">
        <f t="shared" si="5"/>
        <v>0.76622926499999999</v>
      </c>
      <c r="H30" s="1833">
        <f t="shared" si="5"/>
        <v>601.77661229705063</v>
      </c>
      <c r="I30" s="1833">
        <f t="shared" si="5"/>
        <v>63.241424999914308</v>
      </c>
      <c r="J30" s="1837">
        <f t="shared" si="5"/>
        <v>0.96561100831000701</v>
      </c>
      <c r="K30" s="1838">
        <f t="shared" si="5"/>
        <v>0</v>
      </c>
      <c r="L30" s="1837">
        <f t="shared" si="5"/>
        <v>3.71</v>
      </c>
      <c r="M30" s="1026">
        <f t="shared" si="5"/>
        <v>0</v>
      </c>
      <c r="N30" s="1839">
        <f t="shared" si="5"/>
        <v>67.917036008224315</v>
      </c>
      <c r="O30" s="1840">
        <f t="shared" si="5"/>
        <v>669.69364830527491</v>
      </c>
      <c r="P30" s="1053">
        <f t="shared" si="5"/>
        <v>0</v>
      </c>
      <c r="Q30" s="321"/>
      <c r="R30" s="321"/>
      <c r="S30" s="321"/>
    </row>
    <row r="31" spans="1:19" s="321" customFormat="1" ht="21" customHeight="1">
      <c r="A31" s="770">
        <v>2023</v>
      </c>
      <c r="B31" s="771" t="s">
        <v>426</v>
      </c>
      <c r="C31" s="786">
        <v>1577.348384469715</v>
      </c>
      <c r="D31" s="756">
        <v>2085.1103111051216</v>
      </c>
      <c r="E31" s="759">
        <v>124.01586736534</v>
      </c>
      <c r="F31" s="797">
        <v>892.65165115634807</v>
      </c>
      <c r="G31" s="757">
        <v>89.052429943505132</v>
      </c>
      <c r="H31" s="743">
        <v>4768.1786440400301</v>
      </c>
      <c r="I31" s="743">
        <v>1334.4313168326421</v>
      </c>
      <c r="J31" s="798">
        <v>957.14572534161687</v>
      </c>
      <c r="K31" s="1828">
        <v>0</v>
      </c>
      <c r="L31" s="791">
        <v>1347.8860116270198</v>
      </c>
      <c r="M31" s="649">
        <v>91.985524963642305</v>
      </c>
      <c r="N31" s="758">
        <v>3731.4485787649201</v>
      </c>
      <c r="O31" s="760">
        <v>8499.6272228049511</v>
      </c>
      <c r="P31" s="799">
        <v>0</v>
      </c>
      <c r="Q31" s="793"/>
      <c r="R31" s="793"/>
      <c r="S31" s="793"/>
    </row>
    <row r="32" spans="1:19" s="321" customFormat="1" ht="21" customHeight="1">
      <c r="A32" s="770">
        <v>2024</v>
      </c>
      <c r="B32" s="771" t="s">
        <v>427</v>
      </c>
      <c r="C32" s="786">
        <v>146.64524258290101</v>
      </c>
      <c r="D32" s="756">
        <v>45.832981336799982</v>
      </c>
      <c r="E32" s="759">
        <v>52.863162991000003</v>
      </c>
      <c r="F32" s="797">
        <v>273.80031086296844</v>
      </c>
      <c r="G32" s="757">
        <v>9.9000000000000005E-2</v>
      </c>
      <c r="H32" s="743">
        <v>519.24069777366947</v>
      </c>
      <c r="I32" s="743">
        <v>0.40699999999999997</v>
      </c>
      <c r="J32" s="798">
        <v>4.2642017694699996</v>
      </c>
      <c r="K32" s="1828">
        <v>0</v>
      </c>
      <c r="L32" s="791">
        <v>13.942</v>
      </c>
      <c r="M32" s="649">
        <v>0</v>
      </c>
      <c r="N32" s="758">
        <v>18.613201769469999</v>
      </c>
      <c r="O32" s="760">
        <v>537.84389954313951</v>
      </c>
      <c r="P32" s="799">
        <v>0</v>
      </c>
      <c r="Q32" s="793"/>
      <c r="R32" s="793"/>
      <c r="S32" s="793"/>
    </row>
    <row r="33" spans="1:19" s="321" customFormat="1" ht="16.5" customHeight="1">
      <c r="A33" s="770"/>
      <c r="B33" s="771" t="s">
        <v>416</v>
      </c>
      <c r="C33" s="786">
        <v>144.3469453395515</v>
      </c>
      <c r="D33" s="756">
        <v>50.014442685589998</v>
      </c>
      <c r="E33" s="759">
        <v>56.109607685</v>
      </c>
      <c r="F33" s="797">
        <v>283.75900000000001</v>
      </c>
      <c r="G33" s="757">
        <v>0.29099999999999998</v>
      </c>
      <c r="H33" s="743">
        <v>534.52099571014151</v>
      </c>
      <c r="I33" s="743">
        <v>0.35499999999999998</v>
      </c>
      <c r="J33" s="798">
        <v>4.696708045990003</v>
      </c>
      <c r="K33" s="1828">
        <v>0</v>
      </c>
      <c r="L33" s="791">
        <v>14.242000000000001</v>
      </c>
      <c r="M33" s="649">
        <v>0</v>
      </c>
      <c r="N33" s="758">
        <v>19.293708045990005</v>
      </c>
      <c r="O33" s="760">
        <v>553.81470375613151</v>
      </c>
      <c r="P33" s="799">
        <v>0</v>
      </c>
      <c r="Q33" s="793"/>
      <c r="R33" s="793"/>
      <c r="S33" s="793"/>
    </row>
    <row r="34" spans="1:19" s="321" customFormat="1" ht="16.5" customHeight="1">
      <c r="A34" s="770"/>
      <c r="B34" s="771" t="s">
        <v>417</v>
      </c>
      <c r="C34" s="786">
        <v>145.36862129256599</v>
      </c>
      <c r="D34" s="756">
        <v>49.493308282580003</v>
      </c>
      <c r="E34" s="759">
        <v>63.443607684999996</v>
      </c>
      <c r="F34" s="797">
        <v>276.69169169444945</v>
      </c>
      <c r="G34" s="757">
        <v>9.9998420000000005E-2</v>
      </c>
      <c r="H34" s="743">
        <v>535.11722737459536</v>
      </c>
      <c r="I34" s="743">
        <v>0.374</v>
      </c>
      <c r="J34" s="798">
        <v>2.6265506732499997</v>
      </c>
      <c r="K34" s="1828">
        <v>0</v>
      </c>
      <c r="L34" s="791">
        <v>14.555</v>
      </c>
      <c r="M34" s="649">
        <v>0</v>
      </c>
      <c r="N34" s="758">
        <v>17.55555067325</v>
      </c>
      <c r="O34" s="760">
        <v>552.67277804784544</v>
      </c>
      <c r="P34" s="799">
        <v>0</v>
      </c>
      <c r="Q34" s="793"/>
      <c r="R34" s="793"/>
      <c r="S34" s="793"/>
    </row>
    <row r="35" spans="1:19" s="321" customFormat="1" ht="16.5" customHeight="1">
      <c r="A35" s="770"/>
      <c r="B35" s="771" t="s">
        <v>418</v>
      </c>
      <c r="C35" s="786">
        <v>148.94164065862836</v>
      </c>
      <c r="D35" s="756">
        <v>55.299366203009981</v>
      </c>
      <c r="E35" s="759">
        <v>37.120318685000001</v>
      </c>
      <c r="F35" s="797">
        <v>278.26578782917238</v>
      </c>
      <c r="G35" s="757">
        <v>0.28299999999999997</v>
      </c>
      <c r="H35" s="743">
        <v>519.88011337581065</v>
      </c>
      <c r="I35" s="743">
        <v>0.39700000000000002</v>
      </c>
      <c r="J35" s="798">
        <v>2.5437867555899989</v>
      </c>
      <c r="K35" s="1828">
        <v>0</v>
      </c>
      <c r="L35" s="791">
        <v>14.856999999999999</v>
      </c>
      <c r="M35" s="649">
        <v>0</v>
      </c>
      <c r="N35" s="758">
        <v>17.807786755589998</v>
      </c>
      <c r="O35" s="760">
        <v>537.68790013140074</v>
      </c>
      <c r="P35" s="799">
        <v>0</v>
      </c>
      <c r="Q35" s="793"/>
      <c r="R35" s="793"/>
      <c r="S35" s="793"/>
    </row>
    <row r="36" spans="1:19" s="321" customFormat="1" ht="16.5" customHeight="1">
      <c r="A36" s="770"/>
      <c r="B36" s="771" t="s">
        <v>419</v>
      </c>
      <c r="C36" s="786">
        <v>195.63473039141542</v>
      </c>
      <c r="D36" s="756">
        <v>59.572529959999997</v>
      </c>
      <c r="E36" s="759">
        <v>42.102061110999998</v>
      </c>
      <c r="F36" s="797">
        <v>257.31825521412583</v>
      </c>
      <c r="G36" s="757">
        <v>0.75900000000000001</v>
      </c>
      <c r="H36" s="743">
        <v>555.37657667654116</v>
      </c>
      <c r="I36" s="743">
        <v>0.158</v>
      </c>
      <c r="J36" s="798">
        <v>2.5271958999999993</v>
      </c>
      <c r="K36" s="1828">
        <v>0</v>
      </c>
      <c r="L36" s="649">
        <v>0</v>
      </c>
      <c r="M36" s="649">
        <v>0</v>
      </c>
      <c r="N36" s="758">
        <v>2.6851958999999996</v>
      </c>
      <c r="O36" s="760">
        <v>558.06177257654122</v>
      </c>
      <c r="P36" s="799">
        <v>0</v>
      </c>
      <c r="Q36" s="793"/>
      <c r="R36" s="793"/>
      <c r="S36" s="793"/>
    </row>
    <row r="37" spans="1:19" s="321" customFormat="1" ht="16.5" customHeight="1">
      <c r="A37" s="770"/>
      <c r="B37" s="771" t="s">
        <v>420</v>
      </c>
      <c r="C37" s="786">
        <v>135.64840469074755</v>
      </c>
      <c r="D37" s="756">
        <v>58.310438000000005</v>
      </c>
      <c r="E37" s="759">
        <v>42.102060999999999</v>
      </c>
      <c r="F37" s="797">
        <v>251.28838334939712</v>
      </c>
      <c r="G37" s="757">
        <v>0.10734068400000002</v>
      </c>
      <c r="H37" s="743">
        <v>487.43662772414478</v>
      </c>
      <c r="I37" s="743">
        <v>63.087414202319977</v>
      </c>
      <c r="J37" s="798">
        <v>1.3962403492100053</v>
      </c>
      <c r="K37" s="1828">
        <v>0</v>
      </c>
      <c r="L37" s="649">
        <v>15.481999999999999</v>
      </c>
      <c r="M37" s="649">
        <v>0</v>
      </c>
      <c r="N37" s="758">
        <v>79.965654551529965</v>
      </c>
      <c r="O37" s="760">
        <v>567.42228227567466</v>
      </c>
      <c r="P37" s="799">
        <v>0</v>
      </c>
      <c r="Q37" s="793"/>
      <c r="R37" s="793"/>
      <c r="S37" s="793"/>
    </row>
    <row r="38" spans="1:19" s="321" customFormat="1" ht="16.5" customHeight="1">
      <c r="A38" s="770"/>
      <c r="B38" s="771" t="s">
        <v>421</v>
      </c>
      <c r="C38" s="786">
        <v>132.48701765693065</v>
      </c>
      <c r="D38" s="756">
        <v>59.653384884950029</v>
      </c>
      <c r="E38" s="759">
        <v>78.861818999999997</v>
      </c>
      <c r="F38" s="797">
        <v>260.00292069285837</v>
      </c>
      <c r="G38" s="757">
        <v>0.24399999999999999</v>
      </c>
      <c r="H38" s="743">
        <v>531.25914223473899</v>
      </c>
      <c r="I38" s="743">
        <v>63.138917767952805</v>
      </c>
      <c r="J38" s="798">
        <v>1.0197065052200005</v>
      </c>
      <c r="K38" s="1828">
        <v>0</v>
      </c>
      <c r="L38" s="649">
        <v>15.862</v>
      </c>
      <c r="M38" s="649">
        <v>0</v>
      </c>
      <c r="N38" s="758">
        <v>80.040624273172796</v>
      </c>
      <c r="O38" s="760">
        <v>611.28976650791174</v>
      </c>
      <c r="P38" s="799">
        <v>0</v>
      </c>
      <c r="Q38" s="793"/>
      <c r="R38" s="793"/>
      <c r="S38" s="793"/>
    </row>
    <row r="39" spans="1:19" s="321" customFormat="1" ht="16.5" customHeight="1">
      <c r="A39" s="770"/>
      <c r="B39" s="771" t="s">
        <v>422</v>
      </c>
      <c r="C39" s="786">
        <v>147.24622281347146</v>
      </c>
      <c r="D39" s="756">
        <v>65.209818082430004</v>
      </c>
      <c r="E39" s="759">
        <v>100.45834233325566</v>
      </c>
      <c r="F39" s="797">
        <v>259.88682351877799</v>
      </c>
      <c r="G39" s="757">
        <v>0.79400000000000004</v>
      </c>
      <c r="H39" s="743">
        <v>573.5852067479351</v>
      </c>
      <c r="I39" s="743">
        <v>63.56342133593261</v>
      </c>
      <c r="J39" s="798">
        <v>0.92439141201000008</v>
      </c>
      <c r="K39" s="1828">
        <v>0</v>
      </c>
      <c r="L39" s="649">
        <v>16.285</v>
      </c>
      <c r="M39" s="649">
        <v>0</v>
      </c>
      <c r="N39" s="758">
        <v>80.772812747942609</v>
      </c>
      <c r="O39" s="760">
        <v>654.35801949587778</v>
      </c>
      <c r="P39" s="799">
        <v>0</v>
      </c>
      <c r="Q39" s="793"/>
      <c r="R39" s="793"/>
      <c r="S39" s="793"/>
    </row>
    <row r="40" spans="1:19" s="321" customFormat="1" ht="16.5" customHeight="1">
      <c r="A40" s="770"/>
      <c r="B40" s="771" t="s">
        <v>423</v>
      </c>
      <c r="C40" s="786">
        <v>170.43236786383912</v>
      </c>
      <c r="D40" s="756">
        <v>57.727215808250065</v>
      </c>
      <c r="E40" s="759">
        <v>100.44834223101</v>
      </c>
      <c r="F40" s="797">
        <v>253.21181926896062</v>
      </c>
      <c r="G40" s="757">
        <v>0.65</v>
      </c>
      <c r="H40" s="743">
        <v>582.44179765905983</v>
      </c>
      <c r="I40" s="743">
        <v>62.810804690347886</v>
      </c>
      <c r="J40" s="798">
        <v>1.6912774212199981</v>
      </c>
      <c r="K40" s="1828">
        <v>0</v>
      </c>
      <c r="L40" s="649">
        <v>3.1789999999999998</v>
      </c>
      <c r="M40" s="649">
        <v>0</v>
      </c>
      <c r="N40" s="758">
        <v>67.681082111567889</v>
      </c>
      <c r="O40" s="760">
        <v>650.1428797706277</v>
      </c>
      <c r="P40" s="799">
        <v>0</v>
      </c>
      <c r="Q40" s="793"/>
      <c r="R40" s="793"/>
      <c r="S40" s="793"/>
    </row>
    <row r="41" spans="1:19" s="321" customFormat="1" ht="16.5" customHeight="1">
      <c r="A41" s="770"/>
      <c r="B41" s="771" t="s">
        <v>424</v>
      </c>
      <c r="C41" s="786">
        <v>184.29324447924779</v>
      </c>
      <c r="D41" s="756">
        <v>57.417107098430009</v>
      </c>
      <c r="E41" s="759">
        <v>100.45834231301001</v>
      </c>
      <c r="F41" s="797">
        <v>247.79359548328691</v>
      </c>
      <c r="G41" s="757">
        <v>1.2309999999999999</v>
      </c>
      <c r="H41" s="743">
        <v>591.18328937397462</v>
      </c>
      <c r="I41" s="743">
        <v>63.172924091132643</v>
      </c>
      <c r="J41" s="798">
        <v>1.3957785441999981</v>
      </c>
      <c r="K41" s="1828">
        <v>0</v>
      </c>
      <c r="L41" s="649">
        <v>3.4340000000000002</v>
      </c>
      <c r="M41" s="649">
        <v>0</v>
      </c>
      <c r="N41" s="758">
        <v>68.002702635332625</v>
      </c>
      <c r="O41" s="760">
        <v>659.18599200930737</v>
      </c>
      <c r="P41" s="799">
        <v>0</v>
      </c>
      <c r="Q41" s="793"/>
      <c r="R41" s="793"/>
      <c r="S41" s="793"/>
    </row>
    <row r="42" spans="1:19" s="321" customFormat="1" ht="16.5" customHeight="1">
      <c r="A42" s="770"/>
      <c r="B42" s="771" t="s">
        <v>425</v>
      </c>
      <c r="C42" s="786">
        <v>198.44098751939822</v>
      </c>
      <c r="D42" s="756">
        <v>61.689235950510003</v>
      </c>
      <c r="E42" s="759">
        <v>119.87118430502001</v>
      </c>
      <c r="F42" s="797">
        <v>242.5602484499488</v>
      </c>
      <c r="G42" s="757">
        <v>1.0357430270000001</v>
      </c>
      <c r="H42" s="743">
        <v>623.59739925187705</v>
      </c>
      <c r="I42" s="743">
        <v>63.858684801569503</v>
      </c>
      <c r="J42" s="798">
        <v>1.1394582712699981</v>
      </c>
      <c r="K42" s="1828">
        <v>0</v>
      </c>
      <c r="L42" s="649">
        <v>3.601</v>
      </c>
      <c r="M42" s="649">
        <v>0</v>
      </c>
      <c r="N42" s="758">
        <v>68.589143072839491</v>
      </c>
      <c r="O42" s="760">
        <v>692.18654232471658</v>
      </c>
      <c r="P42" s="799">
        <v>0</v>
      </c>
      <c r="Q42" s="793"/>
      <c r="R42" s="793"/>
      <c r="S42" s="793"/>
    </row>
    <row r="43" spans="1:19" s="321" customFormat="1" ht="16.5" customHeight="1">
      <c r="A43" s="770"/>
      <c r="B43" s="771" t="s">
        <v>426</v>
      </c>
      <c r="C43" s="786">
        <v>226.53072441698077</v>
      </c>
      <c r="D43" s="756">
        <v>59.887828264590297</v>
      </c>
      <c r="E43" s="759">
        <v>96.943428811029989</v>
      </c>
      <c r="F43" s="797">
        <v>217.67840153944951</v>
      </c>
      <c r="G43" s="757">
        <v>0.76622926499999999</v>
      </c>
      <c r="H43" s="743">
        <v>601.77661229705063</v>
      </c>
      <c r="I43" s="743">
        <v>63.241424999914308</v>
      </c>
      <c r="J43" s="798">
        <v>0.96561100831000701</v>
      </c>
      <c r="K43" s="1828">
        <v>0</v>
      </c>
      <c r="L43" s="649">
        <v>3.71</v>
      </c>
      <c r="M43" s="649">
        <v>0</v>
      </c>
      <c r="N43" s="758">
        <v>67.917036008224315</v>
      </c>
      <c r="O43" s="760">
        <v>669.69364830527491</v>
      </c>
      <c r="P43" s="799">
        <v>0</v>
      </c>
      <c r="Q43" s="793"/>
      <c r="R43" s="793"/>
      <c r="S43" s="793"/>
    </row>
    <row r="44" spans="1:19" ht="19.5" customHeight="1">
      <c r="A44" s="380" t="s">
        <v>1007</v>
      </c>
      <c r="B44" s="220"/>
      <c r="C44" s="220"/>
      <c r="D44" s="220"/>
      <c r="E44" s="220"/>
      <c r="F44" s="220"/>
      <c r="G44" s="220"/>
      <c r="H44" s="220"/>
      <c r="I44" s="220"/>
      <c r="J44" s="220"/>
      <c r="K44" s="220"/>
      <c r="L44" s="220"/>
      <c r="M44" s="220"/>
      <c r="N44" s="220"/>
      <c r="O44" s="745"/>
      <c r="P44" s="745" t="s">
        <v>1008</v>
      </c>
    </row>
    <row r="45" spans="1:19">
      <c r="A45" s="381" t="s">
        <v>1009</v>
      </c>
      <c r="O45" s="755"/>
      <c r="P45" s="755" t="s">
        <v>1010</v>
      </c>
    </row>
    <row r="46" spans="1:19">
      <c r="A46" s="381" t="s">
        <v>1011</v>
      </c>
      <c r="O46" s="755"/>
      <c r="P46" s="755" t="s">
        <v>1012</v>
      </c>
    </row>
    <row r="47" spans="1:19">
      <c r="A47" s="25" t="s">
        <v>1013</v>
      </c>
      <c r="P47" s="755" t="s">
        <v>1014</v>
      </c>
    </row>
    <row r="48" spans="1:19">
      <c r="P48" s="755"/>
    </row>
    <row r="49" spans="1:16">
      <c r="A49" s="382" t="s">
        <v>1022</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4"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6" activePane="bottomLeft" state="frozen"/>
      <selection activeCell="B12" sqref="B12"/>
      <selection pane="bottomLeft" activeCell="N35" sqref="N35"/>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1766</v>
      </c>
      <c r="B1" s="1740"/>
      <c r="C1" s="382"/>
      <c r="D1" s="382"/>
      <c r="E1" s="382"/>
      <c r="F1" s="382"/>
      <c r="G1" s="382"/>
      <c r="H1" s="382"/>
      <c r="I1" s="382"/>
      <c r="J1" s="382"/>
      <c r="K1" s="382"/>
      <c r="L1" s="382"/>
      <c r="M1" s="382"/>
      <c r="N1" s="382"/>
      <c r="O1" s="382"/>
    </row>
    <row r="2" spans="1:18" ht="18">
      <c r="A2" s="1690" t="s">
        <v>1023</v>
      </c>
      <c r="B2" s="1740"/>
      <c r="C2" s="382"/>
      <c r="D2" s="382"/>
      <c r="E2" s="382"/>
      <c r="F2" s="382"/>
      <c r="G2" s="382"/>
      <c r="H2" s="382"/>
      <c r="I2" s="382"/>
      <c r="J2" s="382"/>
      <c r="K2" s="382"/>
      <c r="L2" s="382"/>
      <c r="M2" s="382"/>
      <c r="N2" s="382"/>
      <c r="O2" s="382"/>
    </row>
    <row r="3" spans="1:18" ht="18">
      <c r="A3" s="277" t="s">
        <v>1024</v>
      </c>
      <c r="B3" s="1740"/>
      <c r="C3" s="382"/>
      <c r="D3" s="382"/>
      <c r="E3" s="382"/>
      <c r="F3" s="382"/>
      <c r="G3" s="382"/>
      <c r="H3" s="382"/>
      <c r="I3" s="382"/>
      <c r="J3" s="382"/>
      <c r="K3" s="382"/>
      <c r="L3" s="382"/>
      <c r="M3" s="382"/>
      <c r="N3" s="382"/>
      <c r="O3" s="382"/>
    </row>
    <row r="4" spans="1:18" ht="18">
      <c r="A4" s="1690" t="s">
        <v>376</v>
      </c>
      <c r="B4" s="1740"/>
      <c r="C4" s="382"/>
      <c r="D4" s="382"/>
      <c r="E4" s="382"/>
      <c r="F4" s="382"/>
      <c r="G4" s="382"/>
      <c r="H4" s="382"/>
      <c r="I4" s="382"/>
      <c r="J4" s="382"/>
      <c r="K4" s="382"/>
      <c r="L4" s="382"/>
      <c r="M4" s="382"/>
      <c r="N4" s="382"/>
      <c r="O4" s="382"/>
    </row>
    <row r="5" spans="1:18" ht="18">
      <c r="A5" s="16" t="s">
        <v>375</v>
      </c>
      <c r="B5" s="1740"/>
      <c r="C5" s="382"/>
      <c r="D5" s="382"/>
      <c r="E5" s="382"/>
      <c r="F5" s="382"/>
      <c r="G5" s="382"/>
      <c r="H5" s="382"/>
      <c r="I5" s="382"/>
      <c r="J5" s="382"/>
      <c r="K5" s="382"/>
      <c r="L5" s="382"/>
      <c r="M5" s="382"/>
      <c r="N5" s="382"/>
      <c r="O5" s="382"/>
    </row>
    <row r="6" spans="1:18" s="148" customFormat="1" ht="15">
      <c r="A6" s="1237" t="s">
        <v>756</v>
      </c>
      <c r="B6" s="387"/>
      <c r="O6" s="1618" t="s">
        <v>757</v>
      </c>
    </row>
    <row r="7" spans="1:18" s="161" customFormat="1" ht="18" customHeight="1">
      <c r="A7" s="1765"/>
      <c r="B7" s="159"/>
      <c r="C7" s="1809" t="s">
        <v>497</v>
      </c>
      <c r="D7" s="174"/>
      <c r="E7" s="160"/>
      <c r="F7" s="160"/>
      <c r="G7" s="1767" t="s">
        <v>495</v>
      </c>
      <c r="H7" s="1768" t="s">
        <v>782</v>
      </c>
      <c r="I7" s="160"/>
      <c r="J7" s="160"/>
      <c r="K7" s="160"/>
      <c r="L7" s="160"/>
      <c r="M7" s="1769" t="s">
        <v>1025</v>
      </c>
      <c r="N7" s="1770"/>
      <c r="O7" s="1771" t="s">
        <v>1026</v>
      </c>
    </row>
    <row r="8" spans="1:18" s="1773" customFormat="1" ht="18" customHeight="1">
      <c r="A8" s="1772"/>
      <c r="C8" s="1774"/>
      <c r="D8" s="1775" t="s">
        <v>504</v>
      </c>
      <c r="E8" s="1775"/>
      <c r="F8" s="1776"/>
      <c r="G8" s="633"/>
      <c r="H8" s="1772"/>
      <c r="I8" s="1777"/>
      <c r="J8" s="1777"/>
      <c r="K8" s="1775" t="s">
        <v>994</v>
      </c>
      <c r="L8" s="1778"/>
      <c r="M8" s="1779"/>
      <c r="N8" s="1810" t="s">
        <v>798</v>
      </c>
      <c r="O8" s="1771" t="s">
        <v>774</v>
      </c>
    </row>
    <row r="9" spans="1:18" s="1773" customFormat="1" ht="18" customHeight="1">
      <c r="A9" s="24" t="s">
        <v>383</v>
      </c>
      <c r="B9" s="74"/>
      <c r="C9" s="1774" t="s">
        <v>436</v>
      </c>
      <c r="D9" s="1781" t="s">
        <v>759</v>
      </c>
      <c r="E9" s="1775" t="s">
        <v>395</v>
      </c>
      <c r="F9" s="1775" t="s">
        <v>396</v>
      </c>
      <c r="G9" s="372" t="s">
        <v>1021</v>
      </c>
      <c r="H9" s="1774" t="s">
        <v>436</v>
      </c>
      <c r="I9" s="1775" t="s">
        <v>815</v>
      </c>
      <c r="J9" s="1775" t="s">
        <v>781</v>
      </c>
      <c r="K9" s="1775" t="s">
        <v>996</v>
      </c>
      <c r="L9" s="372" t="s">
        <v>396</v>
      </c>
      <c r="M9" s="372" t="s">
        <v>386</v>
      </c>
      <c r="N9" s="1780" t="s">
        <v>376</v>
      </c>
      <c r="O9" s="1782" t="s">
        <v>777</v>
      </c>
    </row>
    <row r="10" spans="1:18" s="1773" customFormat="1" ht="18" customHeight="1">
      <c r="A10" s="632" t="s">
        <v>391</v>
      </c>
      <c r="B10" s="1783"/>
      <c r="C10" s="1811"/>
      <c r="D10" s="375" t="s">
        <v>762</v>
      </c>
      <c r="E10" s="375" t="s">
        <v>471</v>
      </c>
      <c r="F10" s="375"/>
      <c r="G10" s="375"/>
      <c r="H10" s="1784"/>
      <c r="I10" s="1783"/>
      <c r="J10" s="1785"/>
      <c r="K10" s="375" t="s">
        <v>1000</v>
      </c>
      <c r="L10" s="375"/>
      <c r="M10" s="375"/>
      <c r="N10" s="1786" t="s">
        <v>397</v>
      </c>
      <c r="O10" s="1782" t="s">
        <v>1027</v>
      </c>
    </row>
    <row r="11" spans="1:18" s="1773" customFormat="1" ht="18" customHeight="1">
      <c r="A11" s="632"/>
      <c r="B11" s="1783"/>
      <c r="C11" s="1784" t="s">
        <v>410</v>
      </c>
      <c r="D11" s="375" t="s">
        <v>763</v>
      </c>
      <c r="E11" s="375" t="s">
        <v>510</v>
      </c>
      <c r="F11" s="375" t="s">
        <v>404</v>
      </c>
      <c r="G11" s="375" t="s">
        <v>397</v>
      </c>
      <c r="H11" s="1784" t="s">
        <v>410</v>
      </c>
      <c r="I11" s="375" t="s">
        <v>763</v>
      </c>
      <c r="J11" s="375" t="s">
        <v>788</v>
      </c>
      <c r="K11" s="375" t="s">
        <v>1005</v>
      </c>
      <c r="L11" s="375" t="s">
        <v>404</v>
      </c>
      <c r="M11" s="375" t="s">
        <v>397</v>
      </c>
      <c r="N11" s="1786" t="s">
        <v>375</v>
      </c>
      <c r="O11" s="1782" t="s">
        <v>6</v>
      </c>
    </row>
    <row r="12" spans="1:18" s="1773" customFormat="1" ht="18" customHeight="1">
      <c r="A12" s="1787"/>
      <c r="B12" s="1788"/>
      <c r="C12" s="1789" t="s">
        <v>785</v>
      </c>
      <c r="D12" s="1790" t="s">
        <v>786</v>
      </c>
      <c r="E12" s="1790" t="s">
        <v>786</v>
      </c>
      <c r="F12" s="1790"/>
      <c r="G12" s="1790"/>
      <c r="H12" s="1789"/>
      <c r="I12" s="1790"/>
      <c r="J12" s="1790"/>
      <c r="K12" s="1790"/>
      <c r="L12" s="1790"/>
      <c r="M12" s="1790"/>
      <c r="N12" s="1812"/>
      <c r="O12" s="1813" t="s">
        <v>789</v>
      </c>
      <c r="P12" s="1814"/>
    </row>
    <row r="13" spans="1:18" s="306" customFormat="1" ht="20.25" customHeight="1">
      <c r="A13" s="405">
        <v>2015</v>
      </c>
      <c r="B13" s="516"/>
      <c r="C13" s="1798">
        <v>4155.8973642631308</v>
      </c>
      <c r="D13" s="1815">
        <v>2244.3217847826231</v>
      </c>
      <c r="E13" s="1816">
        <v>557.85029289997999</v>
      </c>
      <c r="F13" s="1798">
        <v>1684.3095387649748</v>
      </c>
      <c r="G13" s="1797">
        <v>8642.3789807107096</v>
      </c>
      <c r="H13" s="1797">
        <v>14400.353670004304</v>
      </c>
      <c r="I13" s="1815">
        <v>32826.834645538707</v>
      </c>
      <c r="J13" s="1817">
        <v>18610.408909573038</v>
      </c>
      <c r="K13" s="1817">
        <v>23066.831585622436</v>
      </c>
      <c r="L13" s="1818">
        <v>11266.986718537128</v>
      </c>
      <c r="M13" s="1819">
        <v>100171.43140135561</v>
      </c>
      <c r="N13" s="1820">
        <v>108813.81038206631</v>
      </c>
      <c r="O13" s="1821">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f t="shared" ref="C21:O21" si="0">C26</f>
        <v>9028.3279197883876</v>
      </c>
      <c r="D21" s="767">
        <f t="shared" si="0"/>
        <v>4910.3452185124352</v>
      </c>
      <c r="E21" s="766">
        <f t="shared" si="0"/>
        <v>3626.9625969247177</v>
      </c>
      <c r="F21" s="681">
        <f t="shared" si="0"/>
        <v>3036.4568704455642</v>
      </c>
      <c r="G21" s="665">
        <f t="shared" si="0"/>
        <v>20602.092605671103</v>
      </c>
      <c r="H21" s="665">
        <f t="shared" si="0"/>
        <v>16567.89711744224</v>
      </c>
      <c r="I21" s="767">
        <f t="shared" si="0"/>
        <v>39392.398475628332</v>
      </c>
      <c r="J21" s="693">
        <f t="shared" si="0"/>
        <v>22502.594316631552</v>
      </c>
      <c r="K21" s="693">
        <f t="shared" si="0"/>
        <v>28635.147083542506</v>
      </c>
      <c r="L21" s="768">
        <f t="shared" si="0"/>
        <v>3751.6867078935034</v>
      </c>
      <c r="M21" s="788">
        <f t="shared" si="0"/>
        <v>110849.72370113814</v>
      </c>
      <c r="N21" s="783">
        <f t="shared" si="0"/>
        <v>131451.81630680925</v>
      </c>
      <c r="O21" s="800">
        <f t="shared" si="0"/>
        <v>23727.515596664703</v>
      </c>
      <c r="P21" s="801"/>
      <c r="Q21" s="802"/>
      <c r="R21" s="802"/>
    </row>
    <row r="22" spans="1:18" s="321" customFormat="1" ht="14.25" customHeight="1">
      <c r="A22" s="930">
        <v>2024</v>
      </c>
      <c r="B22" s="1025"/>
      <c r="C22" s="1033">
        <f t="shared" ref="C22:O22" si="1">C30</f>
        <v>8002.6120563905697</v>
      </c>
      <c r="D22" s="1038">
        <f t="shared" si="1"/>
        <v>4519.1191233347436</v>
      </c>
      <c r="E22" s="1078">
        <f t="shared" si="1"/>
        <v>3623.0376929119725</v>
      </c>
      <c r="F22" s="1033">
        <f t="shared" si="1"/>
        <v>2310.0619159484722</v>
      </c>
      <c r="G22" s="1032">
        <f t="shared" si="1"/>
        <v>18454.830788585754</v>
      </c>
      <c r="H22" s="1032">
        <f t="shared" si="1"/>
        <v>16347.792456020787</v>
      </c>
      <c r="I22" s="1038">
        <f t="shared" si="1"/>
        <v>38754.020044443867</v>
      </c>
      <c r="J22" s="997">
        <f t="shared" si="1"/>
        <v>29903.121546682778</v>
      </c>
      <c r="K22" s="997">
        <f t="shared" si="1"/>
        <v>27444.558393767202</v>
      </c>
      <c r="L22" s="1039">
        <f t="shared" si="1"/>
        <v>5993.8257631123452</v>
      </c>
      <c r="M22" s="1040">
        <f t="shared" si="1"/>
        <v>118443.30820402698</v>
      </c>
      <c r="N22" s="1041">
        <f t="shared" si="1"/>
        <v>136898.13899261274</v>
      </c>
      <c r="O22" s="1042">
        <f t="shared" si="1"/>
        <v>22479.046840470521</v>
      </c>
      <c r="P22" s="801"/>
      <c r="Q22" s="802"/>
      <c r="R22" s="802"/>
    </row>
    <row r="23" spans="1:18" s="321" customFormat="1" ht="21" customHeight="1">
      <c r="A23" s="770">
        <v>2023</v>
      </c>
      <c r="B23" s="771" t="s">
        <v>243</v>
      </c>
      <c r="C23" s="681">
        <v>8339.9930078656089</v>
      </c>
      <c r="D23" s="767">
        <v>4627.0112329908407</v>
      </c>
      <c r="E23" s="766">
        <v>2897.2602794690565</v>
      </c>
      <c r="F23" s="681">
        <v>2678.8965111415646</v>
      </c>
      <c r="G23" s="665">
        <v>18543.161031467072</v>
      </c>
      <c r="H23" s="665">
        <v>11157.780749248053</v>
      </c>
      <c r="I23" s="767">
        <v>39503.837313749624</v>
      </c>
      <c r="J23" s="693">
        <v>16477.500534859366</v>
      </c>
      <c r="K23" s="693">
        <v>27366.373764820357</v>
      </c>
      <c r="L23" s="1822">
        <v>3385.7205745390302</v>
      </c>
      <c r="M23" s="788">
        <v>97891.232937216409</v>
      </c>
      <c r="N23" s="783">
        <v>116434.39396868349</v>
      </c>
      <c r="O23" s="800">
        <v>20785.687738563829</v>
      </c>
      <c r="P23" s="801"/>
      <c r="Q23" s="802"/>
      <c r="R23" s="802"/>
    </row>
    <row r="24" spans="1:18" s="321" customFormat="1" ht="15">
      <c r="A24" s="770"/>
      <c r="B24" s="771" t="s">
        <v>244</v>
      </c>
      <c r="C24" s="681">
        <v>8751.0147287289328</v>
      </c>
      <c r="D24" s="767">
        <v>4792.2336900096925</v>
      </c>
      <c r="E24" s="766">
        <v>3019.052432624308</v>
      </c>
      <c r="F24" s="681">
        <v>2984.183800915775</v>
      </c>
      <c r="G24" s="665">
        <v>19546.484652278705</v>
      </c>
      <c r="H24" s="665">
        <v>14501.441876223475</v>
      </c>
      <c r="I24" s="767">
        <v>38758.121043713116</v>
      </c>
      <c r="J24" s="693">
        <v>18834.835031768424</v>
      </c>
      <c r="K24" s="693">
        <v>28544.176386780015</v>
      </c>
      <c r="L24" s="768">
        <v>4163.9862761575132</v>
      </c>
      <c r="M24" s="788">
        <v>104802.54061464254</v>
      </c>
      <c r="N24" s="783">
        <v>124349.04526692125</v>
      </c>
      <c r="O24" s="800">
        <v>21353.565711128373</v>
      </c>
      <c r="P24" s="801"/>
      <c r="Q24" s="802"/>
      <c r="R24" s="802"/>
    </row>
    <row r="25" spans="1:18" s="321" customFormat="1" ht="15">
      <c r="A25" s="770"/>
      <c r="B25" s="771" t="s">
        <v>245</v>
      </c>
      <c r="C25" s="1823">
        <v>8540.7891631675448</v>
      </c>
      <c r="D25" s="767">
        <v>5006.478005454881</v>
      </c>
      <c r="E25" s="1824">
        <v>2928.9825137922717</v>
      </c>
      <c r="F25" s="681">
        <v>3731.5409919370909</v>
      </c>
      <c r="G25" s="665">
        <v>20207.810674351789</v>
      </c>
      <c r="H25" s="665">
        <v>15501.47336034776</v>
      </c>
      <c r="I25" s="767">
        <v>38265.89663258606</v>
      </c>
      <c r="J25" s="693">
        <v>21410.294119498514</v>
      </c>
      <c r="K25" s="693">
        <v>24779.64421589324</v>
      </c>
      <c r="L25" s="768">
        <v>4298.4001680420952</v>
      </c>
      <c r="M25" s="788">
        <v>104255.73849636767</v>
      </c>
      <c r="N25" s="783">
        <v>124463.54917071946</v>
      </c>
      <c r="O25" s="800">
        <v>20391.896737857067</v>
      </c>
      <c r="P25" s="801"/>
      <c r="Q25" s="802"/>
      <c r="R25" s="802"/>
    </row>
    <row r="26" spans="1:18" s="321" customFormat="1" ht="15">
      <c r="A26" s="770"/>
      <c r="B26" s="771" t="s">
        <v>242</v>
      </c>
      <c r="C26" s="681">
        <v>9028.3279197883876</v>
      </c>
      <c r="D26" s="767">
        <v>4910.3452185124352</v>
      </c>
      <c r="E26" s="766">
        <v>3626.9625969247177</v>
      </c>
      <c r="F26" s="681">
        <v>3036.4568704455642</v>
      </c>
      <c r="G26" s="665">
        <v>20602.092605671103</v>
      </c>
      <c r="H26" s="665">
        <v>16567.89711744224</v>
      </c>
      <c r="I26" s="767">
        <v>39392.398475628332</v>
      </c>
      <c r="J26" s="693">
        <v>22502.594316631552</v>
      </c>
      <c r="K26" s="693">
        <v>28635.147083542506</v>
      </c>
      <c r="L26" s="768">
        <v>3751.6867078935034</v>
      </c>
      <c r="M26" s="788">
        <v>110849.72370113814</v>
      </c>
      <c r="N26" s="783">
        <v>131451.81630680925</v>
      </c>
      <c r="O26" s="800">
        <v>23727.515596664703</v>
      </c>
      <c r="P26" s="801"/>
      <c r="Q26" s="802"/>
      <c r="R26" s="802"/>
    </row>
    <row r="27" spans="1:18" s="321" customFormat="1" ht="21" customHeight="1">
      <c r="A27" s="770">
        <v>2024</v>
      </c>
      <c r="B27" s="771" t="s">
        <v>243</v>
      </c>
      <c r="C27" s="681">
        <f t="shared" ref="C27:O27" si="2">C34</f>
        <v>8799.2162740480944</v>
      </c>
      <c r="D27" s="767">
        <f t="shared" si="2"/>
        <v>4990.0815657575849</v>
      </c>
      <c r="E27" s="766">
        <f t="shared" si="2"/>
        <v>3495.8208293434609</v>
      </c>
      <c r="F27" s="681">
        <f t="shared" si="2"/>
        <v>3159.6235797914323</v>
      </c>
      <c r="G27" s="665">
        <f t="shared" si="2"/>
        <v>20444.742248940573</v>
      </c>
      <c r="H27" s="665">
        <f t="shared" si="2"/>
        <v>16337.020039724914</v>
      </c>
      <c r="I27" s="767">
        <f t="shared" si="2"/>
        <v>38057.318255649865</v>
      </c>
      <c r="J27" s="693">
        <f t="shared" si="2"/>
        <v>23891.472412544372</v>
      </c>
      <c r="K27" s="693">
        <f t="shared" si="2"/>
        <v>28240.902900678007</v>
      </c>
      <c r="L27" s="1822">
        <f t="shared" si="2"/>
        <v>4883.0845492882509</v>
      </c>
      <c r="M27" s="788">
        <f t="shared" si="2"/>
        <v>111409.79815788541</v>
      </c>
      <c r="N27" s="783">
        <f t="shared" si="2"/>
        <v>131854.54040682598</v>
      </c>
      <c r="O27" s="800">
        <f t="shared" si="2"/>
        <v>22370.612154610135</v>
      </c>
      <c r="P27" s="801"/>
      <c r="Q27" s="802"/>
      <c r="R27" s="802"/>
    </row>
    <row r="28" spans="1:18" s="321" customFormat="1" ht="15" customHeight="1">
      <c r="A28" s="770"/>
      <c r="B28" s="771" t="s">
        <v>244</v>
      </c>
      <c r="C28" s="681">
        <f t="shared" ref="C28:O28" si="3">C37</f>
        <v>8588.8259317737866</v>
      </c>
      <c r="D28" s="767">
        <f t="shared" si="3"/>
        <v>5106.1332907207852</v>
      </c>
      <c r="E28" s="766">
        <f t="shared" si="3"/>
        <v>3505.6587789738073</v>
      </c>
      <c r="F28" s="681">
        <f t="shared" si="3"/>
        <v>3358.0647992046588</v>
      </c>
      <c r="G28" s="665">
        <f t="shared" si="3"/>
        <v>20558.672800673037</v>
      </c>
      <c r="H28" s="665">
        <f t="shared" si="3"/>
        <v>17004.856441129232</v>
      </c>
      <c r="I28" s="767">
        <f t="shared" si="3"/>
        <v>37859.080584865136</v>
      </c>
      <c r="J28" s="693">
        <f t="shared" si="3"/>
        <v>27552.34189452654</v>
      </c>
      <c r="K28" s="693">
        <f t="shared" si="3"/>
        <v>26523.91998334559</v>
      </c>
      <c r="L28" s="1822">
        <f t="shared" si="3"/>
        <v>4582.4944605554365</v>
      </c>
      <c r="M28" s="788">
        <f t="shared" si="3"/>
        <v>113522.70336442193</v>
      </c>
      <c r="N28" s="783">
        <f t="shared" si="3"/>
        <v>134081.37616509496</v>
      </c>
      <c r="O28" s="800">
        <f t="shared" si="3"/>
        <v>20664.005589440574</v>
      </c>
      <c r="P28" s="801"/>
      <c r="Q28" s="802"/>
      <c r="R28" s="802"/>
    </row>
    <row r="29" spans="1:18" s="321" customFormat="1" ht="15" customHeight="1">
      <c r="A29" s="770"/>
      <c r="B29" s="771" t="s">
        <v>245</v>
      </c>
      <c r="C29" s="681">
        <f t="shared" ref="C29:O29" si="4">C40</f>
        <v>9131.6996989528361</v>
      </c>
      <c r="D29" s="767">
        <f t="shared" si="4"/>
        <v>5085.2032497204418</v>
      </c>
      <c r="E29" s="766">
        <f t="shared" si="4"/>
        <v>3907.598101088538</v>
      </c>
      <c r="F29" s="681">
        <f t="shared" si="4"/>
        <v>2864.9636186773178</v>
      </c>
      <c r="G29" s="665">
        <f t="shared" si="4"/>
        <v>20989.464668439134</v>
      </c>
      <c r="H29" s="665">
        <f t="shared" si="4"/>
        <v>16708.802178249312</v>
      </c>
      <c r="I29" s="767">
        <f t="shared" si="4"/>
        <v>39246.346082745709</v>
      </c>
      <c r="J29" s="693">
        <f t="shared" si="4"/>
        <v>28648.086956890525</v>
      </c>
      <c r="K29" s="693">
        <f t="shared" si="4"/>
        <v>28641.25279428756</v>
      </c>
      <c r="L29" s="1822">
        <f t="shared" si="4"/>
        <v>5036.7396885757553</v>
      </c>
      <c r="M29" s="788">
        <f t="shared" si="4"/>
        <v>118281.24770074888</v>
      </c>
      <c r="N29" s="783">
        <f t="shared" si="4"/>
        <v>139270.712369188</v>
      </c>
      <c r="O29" s="800">
        <f t="shared" si="4"/>
        <v>21374.804588007199</v>
      </c>
      <c r="P29" s="801"/>
      <c r="Q29" s="802"/>
      <c r="R29" s="802"/>
    </row>
    <row r="30" spans="1:18" s="321" customFormat="1" ht="15" customHeight="1">
      <c r="A30" s="930"/>
      <c r="B30" s="1025" t="s">
        <v>242</v>
      </c>
      <c r="C30" s="1033">
        <f t="shared" ref="C30:O30" si="5">C43</f>
        <v>8002.6120563905697</v>
      </c>
      <c r="D30" s="1038">
        <f t="shared" si="5"/>
        <v>4519.1191233347436</v>
      </c>
      <c r="E30" s="1005">
        <f t="shared" si="5"/>
        <v>3623.0376929119725</v>
      </c>
      <c r="F30" s="1033">
        <f t="shared" si="5"/>
        <v>2310.0619159484722</v>
      </c>
      <c r="G30" s="1032">
        <f t="shared" si="5"/>
        <v>18454.830788585754</v>
      </c>
      <c r="H30" s="1032">
        <f t="shared" si="5"/>
        <v>16347.792456020787</v>
      </c>
      <c r="I30" s="1038">
        <f t="shared" si="5"/>
        <v>38754.020044443867</v>
      </c>
      <c r="J30" s="997">
        <f t="shared" si="5"/>
        <v>29903.121546682778</v>
      </c>
      <c r="K30" s="997">
        <f t="shared" si="5"/>
        <v>27444.558393767202</v>
      </c>
      <c r="L30" s="1825">
        <f t="shared" si="5"/>
        <v>5993.8257631123452</v>
      </c>
      <c r="M30" s="1040">
        <f t="shared" si="5"/>
        <v>118443.30820402698</v>
      </c>
      <c r="N30" s="1041">
        <f t="shared" si="5"/>
        <v>136898.13899261274</v>
      </c>
      <c r="O30" s="1042">
        <f t="shared" si="5"/>
        <v>22479.046840470521</v>
      </c>
      <c r="P30" s="801"/>
      <c r="Q30" s="802"/>
      <c r="R30" s="802"/>
    </row>
    <row r="31" spans="1:18" s="321" customFormat="1" ht="21" customHeight="1">
      <c r="A31" s="770">
        <v>2023</v>
      </c>
      <c r="B31" s="771" t="s">
        <v>426</v>
      </c>
      <c r="C31" s="681">
        <v>9028.3279197883876</v>
      </c>
      <c r="D31" s="826">
        <v>4910.3452185124352</v>
      </c>
      <c r="E31" s="766">
        <v>3626.9625969247177</v>
      </c>
      <c r="F31" s="681">
        <v>3036.4568704455642</v>
      </c>
      <c r="G31" s="665">
        <v>20602.092605671103</v>
      </c>
      <c r="H31" s="665">
        <v>16567.89711744224</v>
      </c>
      <c r="I31" s="767">
        <v>39392.398475628332</v>
      </c>
      <c r="J31" s="693">
        <v>22502.594316631552</v>
      </c>
      <c r="K31" s="693">
        <v>28635.147083542506</v>
      </c>
      <c r="L31" s="768">
        <v>3751.6867078935034</v>
      </c>
      <c r="M31" s="788">
        <v>110849.72370113814</v>
      </c>
      <c r="N31" s="783">
        <v>131451.81630680925</v>
      </c>
      <c r="O31" s="800">
        <v>23727.515596664703</v>
      </c>
      <c r="P31" s="801"/>
      <c r="Q31" s="802"/>
      <c r="R31" s="802"/>
    </row>
    <row r="32" spans="1:18" s="321" customFormat="1" ht="21" customHeight="1">
      <c r="A32" s="770">
        <v>2024</v>
      </c>
      <c r="B32" s="771" t="s">
        <v>427</v>
      </c>
      <c r="C32" s="681">
        <v>8844.9727166195844</v>
      </c>
      <c r="D32" s="826">
        <v>4973.1895480450594</v>
      </c>
      <c r="E32" s="766">
        <v>3668.9924134004109</v>
      </c>
      <c r="F32" s="681">
        <v>3297.5638074335952</v>
      </c>
      <c r="G32" s="665">
        <v>20784.768485498647</v>
      </c>
      <c r="H32" s="665">
        <v>15240.555983237879</v>
      </c>
      <c r="I32" s="767">
        <v>38755.747341141228</v>
      </c>
      <c r="J32" s="693">
        <v>21857.444861883916</v>
      </c>
      <c r="K32" s="693">
        <v>28712.085594027954</v>
      </c>
      <c r="L32" s="768">
        <v>4192.3969412600381</v>
      </c>
      <c r="M32" s="788">
        <v>108758.23072155101</v>
      </c>
      <c r="N32" s="783">
        <v>129542.95920704964</v>
      </c>
      <c r="O32" s="800">
        <v>23657.36574048474</v>
      </c>
      <c r="P32" s="801"/>
      <c r="Q32" s="802"/>
      <c r="R32" s="802"/>
    </row>
    <row r="33" spans="1:18" s="321" customFormat="1" ht="15">
      <c r="A33" s="770"/>
      <c r="B33" s="771" t="s">
        <v>416</v>
      </c>
      <c r="C33" s="681">
        <v>8803.4801037197394</v>
      </c>
      <c r="D33" s="826">
        <v>4834.205107810777</v>
      </c>
      <c r="E33" s="766">
        <v>3552.2075938712228</v>
      </c>
      <c r="F33" s="681">
        <v>3381.9468550596039</v>
      </c>
      <c r="G33" s="665">
        <v>20571.839660461341</v>
      </c>
      <c r="H33" s="665">
        <v>16822.129610248088</v>
      </c>
      <c r="I33" s="767">
        <v>37809.894346144167</v>
      </c>
      <c r="J33" s="693">
        <v>19277.829686482961</v>
      </c>
      <c r="K33" s="693">
        <v>29266.763656377731</v>
      </c>
      <c r="L33" s="768">
        <v>4882.0857984622144</v>
      </c>
      <c r="M33" s="788">
        <v>108058.68309771514</v>
      </c>
      <c r="N33" s="783">
        <v>128630.52275817649</v>
      </c>
      <c r="O33" s="800">
        <v>22707.544578805235</v>
      </c>
      <c r="P33" s="801"/>
      <c r="Q33" s="802"/>
      <c r="R33" s="802"/>
    </row>
    <row r="34" spans="1:18" s="321" customFormat="1" ht="15">
      <c r="A34" s="770"/>
      <c r="B34" s="771" t="s">
        <v>417</v>
      </c>
      <c r="C34" s="681">
        <v>8799.2162740480944</v>
      </c>
      <c r="D34" s="826">
        <v>4990.0815657575849</v>
      </c>
      <c r="E34" s="766">
        <v>3495.8208293434609</v>
      </c>
      <c r="F34" s="681">
        <v>3159.6235797914323</v>
      </c>
      <c r="G34" s="665">
        <v>20444.742248940573</v>
      </c>
      <c r="H34" s="665">
        <v>16337.020039724914</v>
      </c>
      <c r="I34" s="767">
        <v>38057.318255649865</v>
      </c>
      <c r="J34" s="693">
        <v>23891.472412544372</v>
      </c>
      <c r="K34" s="693">
        <v>28240.902900678007</v>
      </c>
      <c r="L34" s="768">
        <v>4883.0845492882509</v>
      </c>
      <c r="M34" s="788">
        <v>111409.79815788541</v>
      </c>
      <c r="N34" s="783">
        <v>131854.54040682598</v>
      </c>
      <c r="O34" s="800">
        <v>22370.612154610135</v>
      </c>
      <c r="P34" s="801"/>
      <c r="Q34" s="802"/>
      <c r="R34" s="802"/>
    </row>
    <row r="35" spans="1:18" s="321" customFormat="1" ht="15">
      <c r="A35" s="770"/>
      <c r="B35" s="771" t="s">
        <v>418</v>
      </c>
      <c r="C35" s="681">
        <v>8844.946577220715</v>
      </c>
      <c r="D35" s="826">
        <v>4854.0584364502665</v>
      </c>
      <c r="E35" s="766">
        <v>3585.308573363603</v>
      </c>
      <c r="F35" s="681">
        <v>3436.7745113238179</v>
      </c>
      <c r="G35" s="665">
        <v>20721.088098358403</v>
      </c>
      <c r="H35" s="665">
        <v>16572.743694251101</v>
      </c>
      <c r="I35" s="767">
        <v>37838.076035494712</v>
      </c>
      <c r="J35" s="693">
        <v>20771.703700608945</v>
      </c>
      <c r="K35" s="693">
        <v>29699.294271208259</v>
      </c>
      <c r="L35" s="768">
        <v>5062.4589430846527</v>
      </c>
      <c r="M35" s="788">
        <v>109944.28664464765</v>
      </c>
      <c r="N35" s="783">
        <v>130665.37474300605</v>
      </c>
      <c r="O35" s="800">
        <v>22191.927610457984</v>
      </c>
      <c r="P35" s="801"/>
      <c r="Q35" s="802"/>
      <c r="R35" s="802"/>
    </row>
    <row r="36" spans="1:18" s="321" customFormat="1" ht="15">
      <c r="A36" s="770"/>
      <c r="B36" s="771" t="s">
        <v>419</v>
      </c>
      <c r="C36" s="681">
        <v>8594.6677362232276</v>
      </c>
      <c r="D36" s="826">
        <v>4983.4870187635088</v>
      </c>
      <c r="E36" s="766">
        <v>3639.5974862096537</v>
      </c>
      <c r="F36" s="681">
        <v>3382.4075593990524</v>
      </c>
      <c r="G36" s="665">
        <v>20600.15980059544</v>
      </c>
      <c r="H36" s="665">
        <v>16012.622710009309</v>
      </c>
      <c r="I36" s="767">
        <v>37713.552731195668</v>
      </c>
      <c r="J36" s="693">
        <v>23841.513879827704</v>
      </c>
      <c r="K36" s="693">
        <v>31364.451923523873</v>
      </c>
      <c r="L36" s="768">
        <v>4596.3018437226947</v>
      </c>
      <c r="M36" s="788">
        <v>113528.46308827926</v>
      </c>
      <c r="N36" s="783">
        <v>134128.6528888747</v>
      </c>
      <c r="O36" s="800">
        <v>20844.096635243102</v>
      </c>
      <c r="P36" s="801"/>
      <c r="Q36" s="802"/>
      <c r="R36" s="802"/>
    </row>
    <row r="37" spans="1:18" s="321" customFormat="1" ht="15">
      <c r="A37" s="770"/>
      <c r="B37" s="771" t="s">
        <v>420</v>
      </c>
      <c r="C37" s="681">
        <v>8588.8259317737866</v>
      </c>
      <c r="D37" s="826">
        <v>5106.1332907207852</v>
      </c>
      <c r="E37" s="766">
        <v>3505.6587789738073</v>
      </c>
      <c r="F37" s="681">
        <v>3358.0647992046588</v>
      </c>
      <c r="G37" s="665">
        <v>20558.672800673037</v>
      </c>
      <c r="H37" s="665">
        <v>17004.856441129232</v>
      </c>
      <c r="I37" s="767">
        <v>37859.080584865136</v>
      </c>
      <c r="J37" s="693">
        <v>27552.34189452654</v>
      </c>
      <c r="K37" s="693">
        <v>26523.91998334559</v>
      </c>
      <c r="L37" s="768">
        <v>4582.4944605554365</v>
      </c>
      <c r="M37" s="788">
        <v>113522.70336442193</v>
      </c>
      <c r="N37" s="783">
        <v>134081.37616509496</v>
      </c>
      <c r="O37" s="800">
        <v>20664.005589440574</v>
      </c>
      <c r="P37" s="801"/>
      <c r="Q37" s="802"/>
      <c r="R37" s="802"/>
    </row>
    <row r="38" spans="1:18" s="321" customFormat="1" ht="15">
      <c r="A38" s="770"/>
      <c r="B38" s="771" t="s">
        <v>421</v>
      </c>
      <c r="C38" s="681">
        <v>9529.9423907206001</v>
      </c>
      <c r="D38" s="826">
        <v>5131.601236380875</v>
      </c>
      <c r="E38" s="766">
        <v>3403.3914580655573</v>
      </c>
      <c r="F38" s="681">
        <v>3069.0978604243605</v>
      </c>
      <c r="G38" s="665">
        <v>21134.032945591392</v>
      </c>
      <c r="H38" s="665">
        <v>17087.900801999414</v>
      </c>
      <c r="I38" s="767">
        <v>38072.552129295393</v>
      </c>
      <c r="J38" s="693">
        <v>24095.88600243246</v>
      </c>
      <c r="K38" s="693">
        <v>31192.304862555487</v>
      </c>
      <c r="L38" s="768">
        <v>4482.7385685715226</v>
      </c>
      <c r="M38" s="788">
        <v>114931.38236485427</v>
      </c>
      <c r="N38" s="783">
        <v>136065.41531044568</v>
      </c>
      <c r="O38" s="800">
        <v>24606.217268094217</v>
      </c>
      <c r="P38" s="801"/>
      <c r="Q38" s="802"/>
      <c r="R38" s="802"/>
    </row>
    <row r="39" spans="1:18" s="321" customFormat="1" ht="15">
      <c r="A39" s="770"/>
      <c r="B39" s="771" t="s">
        <v>422</v>
      </c>
      <c r="C39" s="681">
        <v>9232.6728868444116</v>
      </c>
      <c r="D39" s="826">
        <v>5205.7890128054441</v>
      </c>
      <c r="E39" s="766">
        <v>3638.5323419258684</v>
      </c>
      <c r="F39" s="681">
        <v>2861.31919872956</v>
      </c>
      <c r="G39" s="665">
        <v>20938.313440305283</v>
      </c>
      <c r="H39" s="665">
        <v>16648.556876235343</v>
      </c>
      <c r="I39" s="767">
        <v>37773.789532377778</v>
      </c>
      <c r="J39" s="693">
        <v>24746.41894193042</v>
      </c>
      <c r="K39" s="693">
        <v>27631.30901053382</v>
      </c>
      <c r="L39" s="768">
        <v>4681.879780916468</v>
      </c>
      <c r="M39" s="788">
        <v>111481.95414199383</v>
      </c>
      <c r="N39" s="783">
        <v>132420.2675822991</v>
      </c>
      <c r="O39" s="800">
        <v>20028.664823905703</v>
      </c>
      <c r="P39" s="801"/>
      <c r="Q39" s="802"/>
      <c r="R39" s="802"/>
    </row>
    <row r="40" spans="1:18" s="321" customFormat="1" ht="15">
      <c r="A40" s="770"/>
      <c r="B40" s="771" t="s">
        <v>423</v>
      </c>
      <c r="C40" s="681">
        <v>9131.6996989528361</v>
      </c>
      <c r="D40" s="826">
        <v>5085.2032497204418</v>
      </c>
      <c r="E40" s="766">
        <v>3907.598101088538</v>
      </c>
      <c r="F40" s="681">
        <v>2864.9636186773178</v>
      </c>
      <c r="G40" s="665">
        <v>20989.464668439134</v>
      </c>
      <c r="H40" s="665">
        <v>16708.802178249312</v>
      </c>
      <c r="I40" s="767">
        <v>39246.346082745709</v>
      </c>
      <c r="J40" s="693">
        <v>28648.086956890525</v>
      </c>
      <c r="K40" s="693">
        <v>28641.25279428756</v>
      </c>
      <c r="L40" s="768">
        <v>5036.7396885757553</v>
      </c>
      <c r="M40" s="788">
        <v>118281.24770074888</v>
      </c>
      <c r="N40" s="783">
        <v>139270.712369188</v>
      </c>
      <c r="O40" s="800">
        <v>21374.804588007199</v>
      </c>
      <c r="P40" s="801"/>
      <c r="Q40" s="802"/>
      <c r="R40" s="802"/>
    </row>
    <row r="41" spans="1:18" s="321" customFormat="1" ht="15">
      <c r="A41" s="770"/>
      <c r="B41" s="771" t="s">
        <v>424</v>
      </c>
      <c r="C41" s="681">
        <v>8625.4858314262019</v>
      </c>
      <c r="D41" s="826">
        <v>5291.670720815443</v>
      </c>
      <c r="E41" s="766">
        <v>3630.9932556066829</v>
      </c>
      <c r="F41" s="681">
        <v>2499.1079366493545</v>
      </c>
      <c r="G41" s="665">
        <v>20047.257744497681</v>
      </c>
      <c r="H41" s="665">
        <v>16805.160374960644</v>
      </c>
      <c r="I41" s="767">
        <v>38557.742262025778</v>
      </c>
      <c r="J41" s="693">
        <v>28425.046971195203</v>
      </c>
      <c r="K41" s="693">
        <v>28673.180828740595</v>
      </c>
      <c r="L41" s="768">
        <v>6341.5879849378334</v>
      </c>
      <c r="M41" s="788">
        <v>118802.72842186007</v>
      </c>
      <c r="N41" s="783">
        <v>138849.98616635776</v>
      </c>
      <c r="O41" s="800">
        <v>24786.279086252078</v>
      </c>
      <c r="P41" s="801"/>
      <c r="Q41" s="802"/>
      <c r="R41" s="802"/>
    </row>
    <row r="42" spans="1:18" s="321" customFormat="1" ht="15">
      <c r="A42" s="770"/>
      <c r="B42" s="771" t="s">
        <v>425</v>
      </c>
      <c r="C42" s="681">
        <v>9252.2341825565873</v>
      </c>
      <c r="D42" s="826">
        <v>4991.6722825255174</v>
      </c>
      <c r="E42" s="766">
        <v>3610.2800597778842</v>
      </c>
      <c r="F42" s="681">
        <v>2668.0074170017042</v>
      </c>
      <c r="G42" s="665">
        <v>20522.193941861697</v>
      </c>
      <c r="H42" s="665">
        <v>17746.213016990019</v>
      </c>
      <c r="I42" s="767">
        <v>36748.317067357202</v>
      </c>
      <c r="J42" s="693">
        <v>28389.467057072539</v>
      </c>
      <c r="K42" s="693">
        <v>27121.273918806743</v>
      </c>
      <c r="L42" s="768">
        <v>4822.5049453833271</v>
      </c>
      <c r="M42" s="788">
        <v>114827.77600560983</v>
      </c>
      <c r="N42" s="783">
        <v>135349.96994747155</v>
      </c>
      <c r="O42" s="800">
        <v>21679.387358569213</v>
      </c>
      <c r="P42" s="801"/>
      <c r="Q42" s="802"/>
      <c r="R42" s="802"/>
    </row>
    <row r="43" spans="1:18" s="321" customFormat="1" ht="15">
      <c r="A43" s="770"/>
      <c r="B43" s="771" t="s">
        <v>426</v>
      </c>
      <c r="C43" s="681">
        <v>8002.6120563905697</v>
      </c>
      <c r="D43" s="826">
        <v>4519.1191233347436</v>
      </c>
      <c r="E43" s="766">
        <v>3623.0376929119725</v>
      </c>
      <c r="F43" s="681">
        <v>2310.0619159484722</v>
      </c>
      <c r="G43" s="665">
        <v>18454.830788585754</v>
      </c>
      <c r="H43" s="665">
        <v>16347.792456020787</v>
      </c>
      <c r="I43" s="767">
        <v>38754.020044443867</v>
      </c>
      <c r="J43" s="693">
        <v>29903.121546682778</v>
      </c>
      <c r="K43" s="693">
        <v>27444.558393767202</v>
      </c>
      <c r="L43" s="768">
        <v>5993.8257631123452</v>
      </c>
      <c r="M43" s="788">
        <v>118443.30820402698</v>
      </c>
      <c r="N43" s="783">
        <v>136898.13899261274</v>
      </c>
      <c r="O43" s="800">
        <v>22479.046840470521</v>
      </c>
      <c r="P43" s="801"/>
      <c r="Q43" s="802"/>
      <c r="R43" s="802"/>
    </row>
    <row r="44" spans="1:18" ht="20.25" customHeight="1">
      <c r="A44" s="380" t="s">
        <v>1028</v>
      </c>
      <c r="B44" s="380"/>
      <c r="C44" s="380"/>
      <c r="D44" s="380"/>
      <c r="E44" s="380"/>
      <c r="F44" s="380"/>
      <c r="G44" s="380"/>
      <c r="H44" s="380"/>
      <c r="I44" s="380"/>
      <c r="J44" s="1498"/>
      <c r="K44" s="380"/>
      <c r="L44" s="380"/>
      <c r="M44" s="1826"/>
      <c r="N44" s="1826"/>
      <c r="O44" s="409" t="s">
        <v>1029</v>
      </c>
    </row>
    <row r="45" spans="1:18" ht="14.25" customHeight="1">
      <c r="A45" s="381" t="s">
        <v>1030</v>
      </c>
      <c r="J45" s="1461"/>
      <c r="K45" s="25"/>
      <c r="L45" s="1806"/>
      <c r="O45" s="412" t="s">
        <v>1031</v>
      </c>
    </row>
    <row r="46" spans="1:18">
      <c r="B46" s="382"/>
      <c r="C46" s="1689"/>
      <c r="D46" s="1115"/>
      <c r="E46" s="1115"/>
      <c r="F46" s="1115"/>
      <c r="G46" s="1115"/>
      <c r="H46" s="1115"/>
      <c r="I46" s="1115"/>
      <c r="J46" s="1115"/>
      <c r="K46" s="1115"/>
      <c r="L46" s="1115"/>
      <c r="M46" s="1692"/>
      <c r="N46" s="1692"/>
      <c r="O46" s="1692"/>
    </row>
    <row r="47" spans="1:18" ht="14.25">
      <c r="A47" s="644" t="s">
        <v>1032</v>
      </c>
      <c r="B47" s="644"/>
      <c r="C47" s="644"/>
      <c r="D47" s="644"/>
      <c r="E47" s="644"/>
      <c r="F47" s="644"/>
      <c r="G47" s="644"/>
      <c r="H47" s="644"/>
      <c r="I47" s="644"/>
      <c r="J47" s="644"/>
      <c r="K47" s="644"/>
      <c r="L47" s="644"/>
      <c r="M47" s="644"/>
      <c r="N47" s="644"/>
      <c r="O47" s="644"/>
    </row>
    <row r="48" spans="1:18">
      <c r="A48" s="1461"/>
    </row>
    <row r="49" spans="1:1">
      <c r="A49" s="1827"/>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5" activePane="bottomLeft" state="frozen"/>
      <selection activeCell="B12" sqref="B12"/>
      <selection pane="bottomLeft" activeCell="N37" sqref="N37"/>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1765</v>
      </c>
      <c r="B1" s="1740"/>
      <c r="C1" s="382"/>
      <c r="D1" s="382"/>
      <c r="E1" s="382"/>
      <c r="F1" s="382"/>
      <c r="G1" s="382"/>
      <c r="H1" s="382"/>
      <c r="I1" s="382"/>
      <c r="J1" s="382"/>
      <c r="K1" s="382"/>
      <c r="L1" s="382"/>
      <c r="M1" s="382"/>
      <c r="N1" s="382"/>
      <c r="O1" s="382"/>
    </row>
    <row r="2" spans="1:18" s="381" customFormat="1" ht="18">
      <c r="A2" s="1690" t="s">
        <v>1033</v>
      </c>
      <c r="B2" s="1740"/>
      <c r="C2" s="382"/>
      <c r="D2" s="382"/>
      <c r="E2" s="382"/>
      <c r="F2" s="382"/>
      <c r="G2" s="382"/>
      <c r="H2" s="382"/>
      <c r="I2" s="382"/>
      <c r="J2" s="382"/>
      <c r="K2" s="382"/>
      <c r="L2" s="382"/>
      <c r="M2" s="382"/>
      <c r="N2" s="382"/>
      <c r="O2" s="382"/>
    </row>
    <row r="3" spans="1:18" s="381" customFormat="1" ht="18">
      <c r="A3" s="277" t="s">
        <v>1024</v>
      </c>
      <c r="B3" s="1740"/>
      <c r="C3" s="382"/>
      <c r="D3" s="382"/>
      <c r="E3" s="382"/>
      <c r="F3" s="382"/>
      <c r="G3" s="382"/>
      <c r="H3" s="382"/>
      <c r="I3" s="382"/>
      <c r="J3" s="382"/>
      <c r="K3" s="382"/>
      <c r="L3" s="382"/>
      <c r="M3" s="382"/>
      <c r="N3" s="382"/>
      <c r="O3" s="382"/>
    </row>
    <row r="4" spans="1:18" s="381" customFormat="1" ht="18">
      <c r="A4" s="1690" t="s">
        <v>378</v>
      </c>
      <c r="B4" s="1740"/>
      <c r="C4" s="382"/>
      <c r="D4" s="382"/>
      <c r="E4" s="382"/>
      <c r="F4" s="382"/>
      <c r="G4" s="382"/>
      <c r="H4" s="382"/>
      <c r="I4" s="382"/>
      <c r="J4" s="382"/>
      <c r="K4" s="382"/>
      <c r="L4" s="382"/>
      <c r="M4" s="382"/>
      <c r="N4" s="382"/>
      <c r="O4" s="382"/>
    </row>
    <row r="5" spans="1:18" s="381" customFormat="1" ht="18">
      <c r="A5" s="277" t="s">
        <v>377</v>
      </c>
      <c r="B5" s="1740"/>
      <c r="C5" s="382"/>
      <c r="D5" s="382"/>
      <c r="E5" s="382"/>
      <c r="F5" s="382"/>
      <c r="G5" s="382"/>
      <c r="H5" s="382"/>
      <c r="I5" s="382"/>
      <c r="J5" s="382"/>
      <c r="K5" s="382"/>
      <c r="L5" s="382"/>
      <c r="M5" s="382"/>
      <c r="N5" s="382"/>
      <c r="O5" s="382"/>
    </row>
    <row r="6" spans="1:18" ht="15">
      <c r="A6" s="1237" t="s">
        <v>756</v>
      </c>
      <c r="B6" s="17"/>
      <c r="O6" s="1618" t="s">
        <v>757</v>
      </c>
    </row>
    <row r="7" spans="1:18" s="161" customFormat="1" ht="18" customHeight="1">
      <c r="A7" s="1765"/>
      <c r="B7" s="159"/>
      <c r="C7" s="1766" t="s">
        <v>795</v>
      </c>
      <c r="D7" s="160"/>
      <c r="E7" s="160"/>
      <c r="F7" s="160"/>
      <c r="G7" s="1767" t="s">
        <v>796</v>
      </c>
      <c r="H7" s="1768" t="s">
        <v>1018</v>
      </c>
      <c r="I7" s="160"/>
      <c r="J7" s="160"/>
      <c r="K7" s="160"/>
      <c r="L7" s="160"/>
      <c r="M7" s="1769" t="s">
        <v>1019</v>
      </c>
      <c r="N7" s="1770"/>
      <c r="O7" s="1771" t="s">
        <v>797</v>
      </c>
    </row>
    <row r="8" spans="1:18" s="1773" customFormat="1" ht="18" customHeight="1">
      <c r="A8" s="1772"/>
      <c r="C8" s="1774"/>
      <c r="D8" s="1775" t="s">
        <v>504</v>
      </c>
      <c r="E8" s="1775"/>
      <c r="F8" s="1776"/>
      <c r="G8" s="633"/>
      <c r="H8" s="1772"/>
      <c r="I8" s="1777"/>
      <c r="J8" s="1777"/>
      <c r="K8" s="162" t="s">
        <v>994</v>
      </c>
      <c r="L8" s="1778"/>
      <c r="M8" s="1779"/>
      <c r="N8" s="1780" t="s">
        <v>798</v>
      </c>
      <c r="O8" s="1771" t="s">
        <v>774</v>
      </c>
    </row>
    <row r="9" spans="1:18" s="1773" customFormat="1" ht="18" customHeight="1">
      <c r="A9" s="24" t="s">
        <v>383</v>
      </c>
      <c r="B9" s="74"/>
      <c r="C9" s="1774" t="s">
        <v>436</v>
      </c>
      <c r="D9" s="1781" t="s">
        <v>759</v>
      </c>
      <c r="E9" s="1775" t="s">
        <v>395</v>
      </c>
      <c r="F9" s="1775" t="s">
        <v>396</v>
      </c>
      <c r="G9" s="372" t="s">
        <v>1021</v>
      </c>
      <c r="H9" s="1774" t="s">
        <v>436</v>
      </c>
      <c r="I9" s="1775" t="s">
        <v>815</v>
      </c>
      <c r="J9" s="1775" t="s">
        <v>781</v>
      </c>
      <c r="K9" s="1775" t="s">
        <v>996</v>
      </c>
      <c r="L9" s="372" t="s">
        <v>396</v>
      </c>
      <c r="M9" s="372" t="s">
        <v>386</v>
      </c>
      <c r="N9" s="1780" t="s">
        <v>378</v>
      </c>
      <c r="O9" s="1782" t="s">
        <v>777</v>
      </c>
    </row>
    <row r="10" spans="1:18" s="1773" customFormat="1" ht="18" customHeight="1">
      <c r="A10" s="632" t="s">
        <v>391</v>
      </c>
      <c r="B10" s="1783"/>
      <c r="C10" s="1784"/>
      <c r="D10" s="375" t="s">
        <v>762</v>
      </c>
      <c r="E10" s="375" t="s">
        <v>471</v>
      </c>
      <c r="F10" s="375"/>
      <c r="G10" s="375"/>
      <c r="H10" s="1784"/>
      <c r="I10" s="1783"/>
      <c r="J10" s="1785"/>
      <c r="K10" s="375" t="s">
        <v>1000</v>
      </c>
      <c r="L10" s="375"/>
      <c r="M10" s="375"/>
      <c r="N10" s="1786" t="s">
        <v>397</v>
      </c>
      <c r="O10" s="1782" t="s">
        <v>1027</v>
      </c>
    </row>
    <row r="11" spans="1:18" s="1773" customFormat="1" ht="18" customHeight="1">
      <c r="A11" s="632"/>
      <c r="B11" s="1783"/>
      <c r="C11" s="1784" t="s">
        <v>410</v>
      </c>
      <c r="D11" s="375" t="s">
        <v>763</v>
      </c>
      <c r="E11" s="375" t="s">
        <v>510</v>
      </c>
      <c r="F11" s="375" t="s">
        <v>404</v>
      </c>
      <c r="G11" s="375" t="s">
        <v>397</v>
      </c>
      <c r="H11" s="1784" t="s">
        <v>410</v>
      </c>
      <c r="I11" s="375" t="s">
        <v>763</v>
      </c>
      <c r="J11" s="375" t="s">
        <v>788</v>
      </c>
      <c r="K11" s="375" t="s">
        <v>1005</v>
      </c>
      <c r="L11" s="375" t="s">
        <v>404</v>
      </c>
      <c r="M11" s="375" t="s">
        <v>397</v>
      </c>
      <c r="N11" s="1786" t="s">
        <v>377</v>
      </c>
      <c r="O11" s="1782" t="s">
        <v>6</v>
      </c>
    </row>
    <row r="12" spans="1:18" s="1773" customFormat="1" ht="18" customHeight="1">
      <c r="A12" s="1787"/>
      <c r="B12" s="1788"/>
      <c r="C12" s="1789" t="s">
        <v>785</v>
      </c>
      <c r="D12" s="1790"/>
      <c r="E12" s="1790"/>
      <c r="F12" s="1790" t="s">
        <v>786</v>
      </c>
      <c r="G12" s="1791"/>
      <c r="H12" s="1792"/>
      <c r="I12" s="1791"/>
      <c r="J12" s="1791"/>
      <c r="K12" s="1791"/>
      <c r="L12" s="1790" t="s">
        <v>786</v>
      </c>
      <c r="M12" s="1791"/>
      <c r="N12" s="1793"/>
      <c r="O12" s="1790" t="s">
        <v>1034</v>
      </c>
    </row>
    <row r="13" spans="1:18" s="306" customFormat="1" ht="20.25" customHeight="1">
      <c r="A13" s="405">
        <v>2015</v>
      </c>
      <c r="B13" s="516"/>
      <c r="C13" s="1794">
        <v>4769.3747938611141</v>
      </c>
      <c r="D13" s="1795">
        <v>476.76634609297935</v>
      </c>
      <c r="E13" s="825">
        <v>190.10322301637086</v>
      </c>
      <c r="F13" s="1796">
        <v>4165.6299302274019</v>
      </c>
      <c r="G13" s="1797">
        <v>9601.9242931978661</v>
      </c>
      <c r="H13" s="1797">
        <v>34277.310173194819</v>
      </c>
      <c r="I13" s="1798">
        <v>23872.12348408554</v>
      </c>
      <c r="J13" s="1799">
        <v>1768.0208966356188</v>
      </c>
      <c r="K13" s="1800">
        <v>19988.5227075812</v>
      </c>
      <c r="L13" s="1797">
        <v>19305.965289367159</v>
      </c>
      <c r="M13" s="1754">
        <v>99211.89255086433</v>
      </c>
      <c r="N13" s="1798">
        <v>108813.81684406221</v>
      </c>
      <c r="O13" s="1801">
        <v>38417.914977183013</v>
      </c>
      <c r="P13" s="1802"/>
      <c r="Q13" s="1803"/>
      <c r="R13" s="1802"/>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801"/>
      <c r="Q14" s="802"/>
      <c r="R14" s="802"/>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802"/>
      <c r="Q15" s="1803"/>
      <c r="R15" s="1802"/>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f t="shared" ref="C21:O21" si="0">C26</f>
        <v>6950.2727625431671</v>
      </c>
      <c r="D21" s="666">
        <f t="shared" si="0"/>
        <v>1771.0204096518075</v>
      </c>
      <c r="E21" s="664">
        <f t="shared" si="0"/>
        <v>47.981840089883526</v>
      </c>
      <c r="F21" s="698">
        <f t="shared" si="0"/>
        <v>5082.7434989219764</v>
      </c>
      <c r="G21" s="665">
        <f t="shared" si="0"/>
        <v>13852.018511206836</v>
      </c>
      <c r="H21" s="665">
        <f t="shared" si="0"/>
        <v>35737.846895121016</v>
      </c>
      <c r="I21" s="681">
        <f t="shared" si="0"/>
        <v>27551.833813543555</v>
      </c>
      <c r="J21" s="742">
        <f t="shared" si="0"/>
        <v>515.99999999952001</v>
      </c>
      <c r="K21" s="687">
        <f t="shared" si="0"/>
        <v>42834.75713933941</v>
      </c>
      <c r="L21" s="665">
        <f t="shared" si="0"/>
        <v>10959.423351313453</v>
      </c>
      <c r="M21" s="649">
        <f t="shared" si="0"/>
        <v>117599.84119931694</v>
      </c>
      <c r="N21" s="667">
        <f t="shared" si="0"/>
        <v>131451.83971052378</v>
      </c>
      <c r="O21" s="769">
        <f t="shared" si="0"/>
        <v>23958.947154089299</v>
      </c>
      <c r="P21" s="802"/>
      <c r="Q21" s="804"/>
      <c r="R21" s="802"/>
    </row>
    <row r="22" spans="1:18" s="321" customFormat="1" ht="14.25" customHeight="1">
      <c r="A22" s="930">
        <v>2024</v>
      </c>
      <c r="B22" s="1025"/>
      <c r="C22" s="1028">
        <f t="shared" ref="C22:O22" si="1">C30</f>
        <v>6899.4600072129961</v>
      </c>
      <c r="D22" s="1029">
        <f t="shared" si="1"/>
        <v>1045.9441128210117</v>
      </c>
      <c r="E22" s="1328">
        <f t="shared" si="1"/>
        <v>120.87282053140629</v>
      </c>
      <c r="F22" s="1031">
        <f t="shared" si="1"/>
        <v>4766.0053601959016</v>
      </c>
      <c r="G22" s="1032">
        <f t="shared" si="1"/>
        <v>12832.282300761315</v>
      </c>
      <c r="H22" s="1032">
        <f t="shared" si="1"/>
        <v>41124.759756934851</v>
      </c>
      <c r="I22" s="1033">
        <f t="shared" si="1"/>
        <v>24574.611961686849</v>
      </c>
      <c r="J22" s="1034">
        <f t="shared" si="1"/>
        <v>587.00125878951997</v>
      </c>
      <c r="K22" s="1035">
        <f t="shared" si="1"/>
        <v>45289.749663294875</v>
      </c>
      <c r="L22" s="1032">
        <f t="shared" si="1"/>
        <v>12489.696948405232</v>
      </c>
      <c r="M22" s="1027">
        <f t="shared" si="1"/>
        <v>124065.80958911133</v>
      </c>
      <c r="N22" s="1036">
        <f t="shared" si="1"/>
        <v>136898.09188987262</v>
      </c>
      <c r="O22" s="1037">
        <f t="shared" si="1"/>
        <v>21863.933704486044</v>
      </c>
      <c r="P22" s="802"/>
      <c r="Q22" s="804"/>
      <c r="R22" s="802"/>
    </row>
    <row r="23" spans="1:18" s="321" customFormat="1" ht="21" customHeight="1">
      <c r="A23" s="770">
        <v>2023</v>
      </c>
      <c r="B23" s="771" t="s">
        <v>243</v>
      </c>
      <c r="C23" s="803">
        <v>6391.0965506760413</v>
      </c>
      <c r="D23" s="666">
        <v>1301.7639675853395</v>
      </c>
      <c r="E23" s="664">
        <v>177.31091501504204</v>
      </c>
      <c r="F23" s="698">
        <v>5065.9057433027274</v>
      </c>
      <c r="G23" s="665">
        <v>12936.05717657915</v>
      </c>
      <c r="H23" s="665">
        <v>28111.417054619436</v>
      </c>
      <c r="I23" s="681">
        <v>26705.52673659732</v>
      </c>
      <c r="J23" s="742">
        <v>506.99999999952001</v>
      </c>
      <c r="K23" s="687">
        <v>38683.053788867473</v>
      </c>
      <c r="L23" s="665">
        <v>9491.3432486899874</v>
      </c>
      <c r="M23" s="649">
        <v>103498.34082877375</v>
      </c>
      <c r="N23" s="667">
        <v>116434.40800535289</v>
      </c>
      <c r="O23" s="769">
        <v>20958.93290736655</v>
      </c>
      <c r="P23" s="801"/>
      <c r="Q23" s="802"/>
      <c r="R23" s="802"/>
    </row>
    <row r="24" spans="1:18" s="321" customFormat="1" ht="15">
      <c r="A24" s="770"/>
      <c r="B24" s="771" t="s">
        <v>244</v>
      </c>
      <c r="C24" s="803">
        <v>6494.339916808377</v>
      </c>
      <c r="D24" s="666">
        <v>1970.5347669235537</v>
      </c>
      <c r="E24" s="664">
        <v>276.36090486603615</v>
      </c>
      <c r="F24" s="698">
        <v>5226.8314551627427</v>
      </c>
      <c r="G24" s="665">
        <v>13968.047043760707</v>
      </c>
      <c r="H24" s="665">
        <v>31404.141065614567</v>
      </c>
      <c r="I24" s="681">
        <v>27411.848327357591</v>
      </c>
      <c r="J24" s="742">
        <v>515.99999999952001</v>
      </c>
      <c r="K24" s="687">
        <v>40618.591993120237</v>
      </c>
      <c r="L24" s="665">
        <v>10430.507024834114</v>
      </c>
      <c r="M24" s="649">
        <v>110381.03841092602</v>
      </c>
      <c r="N24" s="667">
        <v>124349.03545468673</v>
      </c>
      <c r="O24" s="769">
        <v>21495.608651657963</v>
      </c>
      <c r="P24" s="801"/>
      <c r="Q24" s="802"/>
      <c r="R24" s="802"/>
    </row>
    <row r="25" spans="1:18" s="321" customFormat="1" ht="15">
      <c r="A25" s="770"/>
      <c r="B25" s="771" t="s">
        <v>245</v>
      </c>
      <c r="C25" s="1804">
        <v>6718.5050950710265</v>
      </c>
      <c r="D25" s="666">
        <v>1476.9129314489237</v>
      </c>
      <c r="E25" s="1805">
        <v>28.337110887720691</v>
      </c>
      <c r="F25" s="698">
        <v>5303.2137287030655</v>
      </c>
      <c r="G25" s="665">
        <v>13526.938866110737</v>
      </c>
      <c r="H25" s="665">
        <v>33484.133378080391</v>
      </c>
      <c r="I25" s="681">
        <v>24225.569199288315</v>
      </c>
      <c r="J25" s="742">
        <v>506.99999999952001</v>
      </c>
      <c r="K25" s="687">
        <v>42145.263609008667</v>
      </c>
      <c r="L25" s="665">
        <v>10574.620472038958</v>
      </c>
      <c r="M25" s="649">
        <v>110936.58665841585</v>
      </c>
      <c r="N25" s="667">
        <v>124463.53552452657</v>
      </c>
      <c r="O25" s="769">
        <v>20449.837859629872</v>
      </c>
      <c r="P25" s="801"/>
      <c r="Q25" s="802"/>
      <c r="R25" s="802"/>
    </row>
    <row r="26" spans="1:18" s="321" customFormat="1" ht="15">
      <c r="A26" s="770"/>
      <c r="B26" s="771" t="s">
        <v>242</v>
      </c>
      <c r="C26" s="803">
        <v>6950.2727625431671</v>
      </c>
      <c r="D26" s="666">
        <v>1771.0204096518075</v>
      </c>
      <c r="E26" s="664">
        <v>47.981840089883526</v>
      </c>
      <c r="F26" s="698">
        <v>5082.7434989219764</v>
      </c>
      <c r="G26" s="665">
        <v>13852.018511206836</v>
      </c>
      <c r="H26" s="665">
        <v>35737.846895121016</v>
      </c>
      <c r="I26" s="681">
        <v>27551.833813543555</v>
      </c>
      <c r="J26" s="742">
        <v>515.99999999952001</v>
      </c>
      <c r="K26" s="687">
        <v>42834.75713933941</v>
      </c>
      <c r="L26" s="665">
        <v>10959.423351313453</v>
      </c>
      <c r="M26" s="649">
        <v>117599.84119931694</v>
      </c>
      <c r="N26" s="667">
        <v>131451.83971052378</v>
      </c>
      <c r="O26" s="769">
        <v>23958.947154089299</v>
      </c>
      <c r="P26" s="801"/>
      <c r="Q26" s="802"/>
      <c r="R26" s="802"/>
    </row>
    <row r="27" spans="1:18" s="321" customFormat="1" ht="21" customHeight="1">
      <c r="A27" s="770">
        <v>2024</v>
      </c>
      <c r="B27" s="771" t="s">
        <v>243</v>
      </c>
      <c r="C27" s="803">
        <f t="shared" ref="C27:O27" si="2">C34</f>
        <v>6982.7234421300182</v>
      </c>
      <c r="D27" s="666">
        <f t="shared" si="2"/>
        <v>1648.338159672865</v>
      </c>
      <c r="E27" s="664">
        <f t="shared" si="2"/>
        <v>55.390001058328338</v>
      </c>
      <c r="F27" s="698">
        <f t="shared" si="2"/>
        <v>5623.2587222596103</v>
      </c>
      <c r="G27" s="665">
        <f t="shared" si="2"/>
        <v>14309.710325120821</v>
      </c>
      <c r="H27" s="665">
        <f t="shared" si="2"/>
        <v>37032.92883251192</v>
      </c>
      <c r="I27" s="681">
        <f t="shared" si="2"/>
        <v>24626.733689428616</v>
      </c>
      <c r="J27" s="742">
        <f t="shared" si="2"/>
        <v>506.99999999952001</v>
      </c>
      <c r="K27" s="687">
        <f t="shared" si="2"/>
        <v>44946.192611876832</v>
      </c>
      <c r="L27" s="665">
        <f t="shared" si="2"/>
        <v>10432.028968108905</v>
      </c>
      <c r="M27" s="649">
        <f t="shared" si="2"/>
        <v>117544.83410192578</v>
      </c>
      <c r="N27" s="667">
        <f t="shared" si="2"/>
        <v>131854.54442704658</v>
      </c>
      <c r="O27" s="769">
        <f t="shared" si="2"/>
        <v>22804.298235533308</v>
      </c>
      <c r="P27" s="802"/>
      <c r="Q27" s="804"/>
      <c r="R27" s="802"/>
    </row>
    <row r="28" spans="1:18" s="321" customFormat="1" ht="15" customHeight="1">
      <c r="A28" s="770"/>
      <c r="B28" s="771" t="s">
        <v>244</v>
      </c>
      <c r="C28" s="803">
        <f t="shared" ref="C28:O28" si="3">C37</f>
        <v>6724.8166292387341</v>
      </c>
      <c r="D28" s="666">
        <f t="shared" si="3"/>
        <v>1540.6508436123847</v>
      </c>
      <c r="E28" s="664">
        <f t="shared" si="3"/>
        <v>106.19418148303306</v>
      </c>
      <c r="F28" s="698">
        <f t="shared" si="3"/>
        <v>5207.5251450115866</v>
      </c>
      <c r="G28" s="665">
        <f t="shared" si="3"/>
        <v>13579.18679934574</v>
      </c>
      <c r="H28" s="665">
        <f t="shared" si="3"/>
        <v>37590.88448328447</v>
      </c>
      <c r="I28" s="681">
        <f t="shared" si="3"/>
        <v>26554.969580612807</v>
      </c>
      <c r="J28" s="742">
        <f t="shared" si="3"/>
        <v>515.99999999952001</v>
      </c>
      <c r="K28" s="687">
        <f t="shared" si="3"/>
        <v>45116.905166067736</v>
      </c>
      <c r="L28" s="665">
        <f t="shared" si="3"/>
        <v>10723.441424759365</v>
      </c>
      <c r="M28" s="649">
        <f t="shared" si="3"/>
        <v>120502.21065472389</v>
      </c>
      <c r="N28" s="667">
        <f t="shared" si="3"/>
        <v>134081.39745406964</v>
      </c>
      <c r="O28" s="769">
        <f t="shared" si="3"/>
        <v>20727.231556652056</v>
      </c>
      <c r="P28" s="802"/>
      <c r="Q28" s="804"/>
      <c r="R28" s="802"/>
    </row>
    <row r="29" spans="1:18" s="321" customFormat="1" ht="15" customHeight="1">
      <c r="A29" s="770"/>
      <c r="B29" s="771" t="s">
        <v>245</v>
      </c>
      <c r="C29" s="803">
        <f t="shared" ref="C29:O29" si="4">C40</f>
        <v>6887.5307608958428</v>
      </c>
      <c r="D29" s="666">
        <f t="shared" si="4"/>
        <v>1461.205374060929</v>
      </c>
      <c r="E29" s="664">
        <f t="shared" si="4"/>
        <v>110.50826549261909</v>
      </c>
      <c r="F29" s="698">
        <f t="shared" si="4"/>
        <v>5102.0633332173275</v>
      </c>
      <c r="G29" s="665">
        <f t="shared" si="4"/>
        <v>13561.307733666717</v>
      </c>
      <c r="H29" s="665">
        <f t="shared" si="4"/>
        <v>41078.469064863049</v>
      </c>
      <c r="I29" s="681">
        <f t="shared" si="4"/>
        <v>27351.714303339781</v>
      </c>
      <c r="J29" s="742">
        <f t="shared" si="4"/>
        <v>506.99999999952001</v>
      </c>
      <c r="K29" s="687">
        <f t="shared" si="4"/>
        <v>44968.138252921912</v>
      </c>
      <c r="L29" s="665">
        <f t="shared" si="4"/>
        <v>11804.142219719994</v>
      </c>
      <c r="M29" s="649">
        <f t="shared" si="4"/>
        <v>125709.43384084424</v>
      </c>
      <c r="N29" s="667">
        <f t="shared" si="4"/>
        <v>139270.74157451099</v>
      </c>
      <c r="O29" s="769">
        <f t="shared" si="4"/>
        <v>21077.033532164696</v>
      </c>
      <c r="P29" s="802"/>
      <c r="Q29" s="804"/>
      <c r="R29" s="802"/>
    </row>
    <row r="30" spans="1:18" s="321" customFormat="1" ht="15" customHeight="1">
      <c r="A30" s="930"/>
      <c r="B30" s="1025" t="s">
        <v>242</v>
      </c>
      <c r="C30" s="1028">
        <f t="shared" ref="C30:O30" si="5">C43</f>
        <v>6899.4600072129961</v>
      </c>
      <c r="D30" s="1029">
        <f t="shared" si="5"/>
        <v>1045.9441128210117</v>
      </c>
      <c r="E30" s="1030">
        <f t="shared" si="5"/>
        <v>120.87282053140629</v>
      </c>
      <c r="F30" s="1031">
        <f t="shared" si="5"/>
        <v>4766.0053601959016</v>
      </c>
      <c r="G30" s="1032">
        <f t="shared" si="5"/>
        <v>12832.282300761315</v>
      </c>
      <c r="H30" s="1032">
        <f t="shared" si="5"/>
        <v>41124.759756934851</v>
      </c>
      <c r="I30" s="1033">
        <f t="shared" si="5"/>
        <v>24574.611961686849</v>
      </c>
      <c r="J30" s="1034">
        <f t="shared" si="5"/>
        <v>587.00125878951997</v>
      </c>
      <c r="K30" s="1035">
        <f t="shared" si="5"/>
        <v>45289.749663294875</v>
      </c>
      <c r="L30" s="1032">
        <f t="shared" si="5"/>
        <v>12489.696948405232</v>
      </c>
      <c r="M30" s="1027">
        <f t="shared" si="5"/>
        <v>124065.80958911133</v>
      </c>
      <c r="N30" s="1036">
        <f t="shared" si="5"/>
        <v>136898.09188987262</v>
      </c>
      <c r="O30" s="1037">
        <f t="shared" si="5"/>
        <v>21863.933704486044</v>
      </c>
      <c r="P30" s="802"/>
      <c r="Q30" s="804"/>
      <c r="R30" s="802"/>
    </row>
    <row r="31" spans="1:18" s="321" customFormat="1" ht="21" customHeight="1">
      <c r="A31" s="770">
        <v>2023</v>
      </c>
      <c r="B31" s="771" t="s">
        <v>426</v>
      </c>
      <c r="C31" s="803">
        <v>6950.2727625431671</v>
      </c>
      <c r="D31" s="666">
        <v>1771.0204096518075</v>
      </c>
      <c r="E31" s="664">
        <v>47.981840089883526</v>
      </c>
      <c r="F31" s="698">
        <v>5082.7434989219764</v>
      </c>
      <c r="G31" s="665">
        <v>13852.018511206836</v>
      </c>
      <c r="H31" s="665">
        <v>35737.846895121016</v>
      </c>
      <c r="I31" s="681">
        <v>27551.833813543555</v>
      </c>
      <c r="J31" s="742">
        <v>515.99999999952001</v>
      </c>
      <c r="K31" s="687">
        <v>42834.75713933941</v>
      </c>
      <c r="L31" s="665">
        <v>10959.423351313453</v>
      </c>
      <c r="M31" s="649">
        <v>117599.84119931694</v>
      </c>
      <c r="N31" s="667">
        <v>131451.83971052378</v>
      </c>
      <c r="O31" s="769">
        <v>23958.947154089299</v>
      </c>
      <c r="P31" s="801"/>
      <c r="Q31" s="802"/>
      <c r="R31" s="802"/>
    </row>
    <row r="32" spans="1:18" s="321" customFormat="1" ht="21" customHeight="1">
      <c r="A32" s="770">
        <v>2024</v>
      </c>
      <c r="B32" s="771" t="s">
        <v>427</v>
      </c>
      <c r="C32" s="803">
        <v>6055.3039515222044</v>
      </c>
      <c r="D32" s="666">
        <v>1666.8583264199499</v>
      </c>
      <c r="E32" s="664">
        <v>69.461469928773511</v>
      </c>
      <c r="F32" s="698">
        <v>5459.6305623414746</v>
      </c>
      <c r="G32" s="665">
        <v>13251.254310212402</v>
      </c>
      <c r="H32" s="665">
        <v>35633.640576275342</v>
      </c>
      <c r="I32" s="681">
        <v>27476.113773255231</v>
      </c>
      <c r="J32" s="742">
        <v>499.99999999952001</v>
      </c>
      <c r="K32" s="687">
        <v>42389.892248844139</v>
      </c>
      <c r="L32" s="665">
        <v>10292.089644402533</v>
      </c>
      <c r="M32" s="649">
        <v>116291.73624277677</v>
      </c>
      <c r="N32" s="667">
        <v>129542.99055298917</v>
      </c>
      <c r="O32" s="769">
        <v>24160.494088394324</v>
      </c>
      <c r="P32" s="801"/>
      <c r="Q32" s="802"/>
      <c r="R32" s="802"/>
    </row>
    <row r="33" spans="1:18" s="321" customFormat="1" ht="15">
      <c r="A33" s="770"/>
      <c r="B33" s="771" t="s">
        <v>416</v>
      </c>
      <c r="C33" s="803">
        <v>6601.8056461009955</v>
      </c>
      <c r="D33" s="666">
        <v>1771.712747520947</v>
      </c>
      <c r="E33" s="664">
        <v>62.026627093961466</v>
      </c>
      <c r="F33" s="698">
        <v>5890.5602639766503</v>
      </c>
      <c r="G33" s="665">
        <v>14326.075284692553</v>
      </c>
      <c r="H33" s="665">
        <v>34512.842398538865</v>
      </c>
      <c r="I33" s="681">
        <v>25862.922989769362</v>
      </c>
      <c r="J33" s="742">
        <v>502.99999999952001</v>
      </c>
      <c r="K33" s="687">
        <v>42964.963386997188</v>
      </c>
      <c r="L33" s="665">
        <v>10460.718312470788</v>
      </c>
      <c r="M33" s="649">
        <v>114304.44708777574</v>
      </c>
      <c r="N33" s="667">
        <v>128630.52237246829</v>
      </c>
      <c r="O33" s="769">
        <v>23175.760305101488</v>
      </c>
      <c r="P33" s="801"/>
      <c r="Q33" s="802"/>
      <c r="R33" s="802"/>
    </row>
    <row r="34" spans="1:18" s="321" customFormat="1" ht="15">
      <c r="A34" s="770"/>
      <c r="B34" s="771" t="s">
        <v>417</v>
      </c>
      <c r="C34" s="803">
        <v>6982.7234421300182</v>
      </c>
      <c r="D34" s="666">
        <v>1648.338159672865</v>
      </c>
      <c r="E34" s="664">
        <v>55.390001058328338</v>
      </c>
      <c r="F34" s="698">
        <v>5623.2587222596103</v>
      </c>
      <c r="G34" s="665">
        <v>14309.710325120821</v>
      </c>
      <c r="H34" s="665">
        <v>37032.92883251192</v>
      </c>
      <c r="I34" s="681">
        <v>24626.733689428616</v>
      </c>
      <c r="J34" s="742">
        <v>506.99999999952001</v>
      </c>
      <c r="K34" s="687">
        <v>44946.192611876832</v>
      </c>
      <c r="L34" s="665">
        <v>10432.028968108905</v>
      </c>
      <c r="M34" s="649">
        <v>117544.83410192578</v>
      </c>
      <c r="N34" s="667">
        <v>131854.54442704658</v>
      </c>
      <c r="O34" s="769">
        <v>22804.298235533308</v>
      </c>
      <c r="P34" s="801"/>
      <c r="Q34" s="802"/>
      <c r="R34" s="802"/>
    </row>
    <row r="35" spans="1:18" s="321" customFormat="1" ht="15">
      <c r="A35" s="770"/>
      <c r="B35" s="771" t="s">
        <v>418</v>
      </c>
      <c r="C35" s="803">
        <v>7060.1964403448328</v>
      </c>
      <c r="D35" s="666">
        <v>1630.8094458521343</v>
      </c>
      <c r="E35" s="664">
        <v>57.96084582347045</v>
      </c>
      <c r="F35" s="698">
        <v>5134.7900298216146</v>
      </c>
      <c r="G35" s="665">
        <v>13883.756761842051</v>
      </c>
      <c r="H35" s="665">
        <v>35130.664166930583</v>
      </c>
      <c r="I35" s="681">
        <v>25677.240041809884</v>
      </c>
      <c r="J35" s="742">
        <v>501.99999999952001</v>
      </c>
      <c r="K35" s="687">
        <v>44658.141525859013</v>
      </c>
      <c r="L35" s="665">
        <v>10813.596002670001</v>
      </c>
      <c r="M35" s="649">
        <v>116781.62173726899</v>
      </c>
      <c r="N35" s="667">
        <v>130665.35849911104</v>
      </c>
      <c r="O35" s="769">
        <v>22638.02284311513</v>
      </c>
      <c r="P35" s="801"/>
      <c r="Q35" s="802"/>
      <c r="R35" s="802"/>
    </row>
    <row r="36" spans="1:18" s="321" customFormat="1" ht="15">
      <c r="A36" s="770"/>
      <c r="B36" s="771" t="s">
        <v>419</v>
      </c>
      <c r="C36" s="803">
        <v>6234.4186521757583</v>
      </c>
      <c r="D36" s="666">
        <v>1794.0252943842265</v>
      </c>
      <c r="E36" s="664">
        <v>59.894013743113852</v>
      </c>
      <c r="F36" s="698">
        <v>5130.7860832903971</v>
      </c>
      <c r="G36" s="665">
        <v>13219.124043593496</v>
      </c>
      <c r="H36" s="665">
        <v>37415.311321038105</v>
      </c>
      <c r="I36" s="681">
        <v>26034.542913149362</v>
      </c>
      <c r="J36" s="742">
        <v>504.99999999952001</v>
      </c>
      <c r="K36" s="687">
        <v>46317.98798453527</v>
      </c>
      <c r="L36" s="665">
        <v>10636.84782244531</v>
      </c>
      <c r="M36" s="649">
        <v>120909.60004116756</v>
      </c>
      <c r="N36" s="667">
        <v>134128.72408476105</v>
      </c>
      <c r="O36" s="769">
        <v>20805.487303084206</v>
      </c>
      <c r="P36" s="801"/>
      <c r="Q36" s="802"/>
      <c r="R36" s="802"/>
    </row>
    <row r="37" spans="1:18" s="321" customFormat="1" ht="15">
      <c r="A37" s="770"/>
      <c r="B37" s="771" t="s">
        <v>420</v>
      </c>
      <c r="C37" s="803">
        <v>6724.8166292387341</v>
      </c>
      <c r="D37" s="666">
        <v>1540.6508436123847</v>
      </c>
      <c r="E37" s="664">
        <v>106.19418148303306</v>
      </c>
      <c r="F37" s="698">
        <v>5207.5251450115866</v>
      </c>
      <c r="G37" s="665">
        <v>13579.18679934574</v>
      </c>
      <c r="H37" s="665">
        <v>37590.88448328447</v>
      </c>
      <c r="I37" s="681">
        <v>26554.969580612807</v>
      </c>
      <c r="J37" s="742">
        <v>515.99999999952001</v>
      </c>
      <c r="K37" s="687">
        <v>45116.905166067736</v>
      </c>
      <c r="L37" s="665">
        <v>10723.441424759365</v>
      </c>
      <c r="M37" s="649">
        <v>120502.21065472389</v>
      </c>
      <c r="N37" s="667">
        <v>134081.39745406964</v>
      </c>
      <c r="O37" s="769">
        <v>20727.231556652056</v>
      </c>
      <c r="P37" s="801"/>
      <c r="Q37" s="802"/>
      <c r="R37" s="802"/>
    </row>
    <row r="38" spans="1:18" s="321" customFormat="1" ht="15">
      <c r="A38" s="770"/>
      <c r="B38" s="771" t="s">
        <v>421</v>
      </c>
      <c r="C38" s="803">
        <v>6737.9380699492976</v>
      </c>
      <c r="D38" s="666">
        <v>1547.9869888423875</v>
      </c>
      <c r="E38" s="664">
        <v>100.78382307586023</v>
      </c>
      <c r="F38" s="698">
        <v>5023.2796233202644</v>
      </c>
      <c r="G38" s="665">
        <v>13410.008505187809</v>
      </c>
      <c r="H38" s="665">
        <v>37174.638293100557</v>
      </c>
      <c r="I38" s="681">
        <v>29944.097707190522</v>
      </c>
      <c r="J38" s="742">
        <v>499.99999999952001</v>
      </c>
      <c r="K38" s="687">
        <v>44044.031838494528</v>
      </c>
      <c r="L38" s="665">
        <v>10992.716474086081</v>
      </c>
      <c r="M38" s="649">
        <v>122655.43431287121</v>
      </c>
      <c r="N38" s="667">
        <v>136065.44281805903</v>
      </c>
      <c r="O38" s="769">
        <v>24397.199188023678</v>
      </c>
      <c r="P38" s="801"/>
      <c r="Q38" s="802"/>
      <c r="R38" s="802"/>
    </row>
    <row r="39" spans="1:18" s="321" customFormat="1" ht="15">
      <c r="A39" s="770"/>
      <c r="B39" s="771" t="s">
        <v>422</v>
      </c>
      <c r="C39" s="803">
        <v>6678.7144418424941</v>
      </c>
      <c r="D39" s="666">
        <v>1408.5286401947749</v>
      </c>
      <c r="E39" s="664">
        <v>96.292572656920754</v>
      </c>
      <c r="F39" s="698">
        <v>4932.501333755511</v>
      </c>
      <c r="G39" s="665">
        <v>13116.036988449701</v>
      </c>
      <c r="H39" s="665">
        <v>37391.394287201896</v>
      </c>
      <c r="I39" s="681">
        <v>25677.990401050301</v>
      </c>
      <c r="J39" s="742">
        <v>503.99999999952001</v>
      </c>
      <c r="K39" s="687">
        <v>44228.221062300785</v>
      </c>
      <c r="L39" s="665">
        <v>11502.749564721904</v>
      </c>
      <c r="M39" s="649">
        <v>119304.33531527441</v>
      </c>
      <c r="N39" s="667">
        <v>132420.34230372412</v>
      </c>
      <c r="O39" s="769">
        <v>19729.595314039543</v>
      </c>
      <c r="P39" s="801"/>
      <c r="Q39" s="802"/>
      <c r="R39" s="802"/>
    </row>
    <row r="40" spans="1:18" s="321" customFormat="1" ht="15">
      <c r="A40" s="770"/>
      <c r="B40" s="771" t="s">
        <v>423</v>
      </c>
      <c r="C40" s="803">
        <v>6887.5307608958428</v>
      </c>
      <c r="D40" s="666">
        <v>1461.205374060929</v>
      </c>
      <c r="E40" s="664">
        <v>110.50826549261909</v>
      </c>
      <c r="F40" s="698">
        <v>5102.0633332173275</v>
      </c>
      <c r="G40" s="665">
        <v>13561.307733666717</v>
      </c>
      <c r="H40" s="665">
        <v>41078.469064863049</v>
      </c>
      <c r="I40" s="681">
        <v>27351.714303339781</v>
      </c>
      <c r="J40" s="742">
        <v>506.99999999952001</v>
      </c>
      <c r="K40" s="687">
        <v>44968.138252921912</v>
      </c>
      <c r="L40" s="665">
        <v>11804.142219719994</v>
      </c>
      <c r="M40" s="649">
        <v>125709.43384084424</v>
      </c>
      <c r="N40" s="667">
        <v>139270.74157451099</v>
      </c>
      <c r="O40" s="769">
        <v>21077.033532164696</v>
      </c>
      <c r="P40" s="801"/>
      <c r="Q40" s="802"/>
      <c r="R40" s="802"/>
    </row>
    <row r="41" spans="1:18" s="321" customFormat="1" ht="15">
      <c r="A41" s="770"/>
      <c r="B41" s="771" t="s">
        <v>424</v>
      </c>
      <c r="C41" s="803">
        <v>7206.2320924018986</v>
      </c>
      <c r="D41" s="666">
        <v>1545.6517575627124</v>
      </c>
      <c r="E41" s="664">
        <v>122.24268330958171</v>
      </c>
      <c r="F41" s="698">
        <v>4711.5551454634315</v>
      </c>
      <c r="G41" s="665">
        <v>13585.671678737623</v>
      </c>
      <c r="H41" s="665">
        <v>42868.776949941122</v>
      </c>
      <c r="I41" s="681">
        <v>26463.540368393147</v>
      </c>
      <c r="J41" s="742">
        <v>509.99999999952001</v>
      </c>
      <c r="K41" s="687">
        <v>43146.186407722518</v>
      </c>
      <c r="L41" s="665">
        <v>12275.765293544786</v>
      </c>
      <c r="M41" s="649">
        <v>125264.2890196011</v>
      </c>
      <c r="N41" s="667">
        <v>138849.96069833872</v>
      </c>
      <c r="O41" s="769">
        <v>24617.004097078992</v>
      </c>
      <c r="P41" s="801"/>
      <c r="Q41" s="802"/>
      <c r="R41" s="802"/>
    </row>
    <row r="42" spans="1:18" s="321" customFormat="1" ht="15">
      <c r="A42" s="770"/>
      <c r="B42" s="771" t="s">
        <v>425</v>
      </c>
      <c r="C42" s="803">
        <v>7297.8516882003269</v>
      </c>
      <c r="D42" s="666">
        <v>1279.1476860691678</v>
      </c>
      <c r="E42" s="664">
        <v>123.05936195598245</v>
      </c>
      <c r="F42" s="698">
        <v>4702.4191098361052</v>
      </c>
      <c r="G42" s="665">
        <v>13402.467846061581</v>
      </c>
      <c r="H42" s="665">
        <v>40949.403804978378</v>
      </c>
      <c r="I42" s="681">
        <v>24988.155584287109</v>
      </c>
      <c r="J42" s="742">
        <v>586.99999999952001</v>
      </c>
      <c r="K42" s="687">
        <v>43264.463532342023</v>
      </c>
      <c r="L42" s="665">
        <v>12158.440094910922</v>
      </c>
      <c r="M42" s="649">
        <v>121947.48301651793</v>
      </c>
      <c r="N42" s="667">
        <v>135349.95086257951</v>
      </c>
      <c r="O42" s="769">
        <v>21108.875455074958</v>
      </c>
      <c r="P42" s="801"/>
      <c r="Q42" s="802"/>
      <c r="R42" s="802"/>
    </row>
    <row r="43" spans="1:18" s="321" customFormat="1" ht="15">
      <c r="A43" s="770"/>
      <c r="B43" s="771" t="s">
        <v>426</v>
      </c>
      <c r="C43" s="803">
        <v>6899.4600072129961</v>
      </c>
      <c r="D43" s="666">
        <v>1045.9441128210117</v>
      </c>
      <c r="E43" s="664">
        <v>120.87282053140629</v>
      </c>
      <c r="F43" s="698">
        <v>4766.0053601959016</v>
      </c>
      <c r="G43" s="665">
        <v>12832.282300761315</v>
      </c>
      <c r="H43" s="665">
        <v>41124.759756934851</v>
      </c>
      <c r="I43" s="681">
        <v>24574.611961686849</v>
      </c>
      <c r="J43" s="742">
        <v>587.00125878951997</v>
      </c>
      <c r="K43" s="687">
        <v>45289.749663294875</v>
      </c>
      <c r="L43" s="665">
        <v>12489.696948405232</v>
      </c>
      <c r="M43" s="649">
        <v>124065.80958911133</v>
      </c>
      <c r="N43" s="667">
        <v>136898.09188987262</v>
      </c>
      <c r="O43" s="769">
        <v>21863.933704486044</v>
      </c>
      <c r="P43" s="801"/>
      <c r="Q43" s="802"/>
      <c r="R43" s="802"/>
    </row>
    <row r="44" spans="1:18" s="381" customFormat="1" ht="20.25" customHeight="1">
      <c r="A44" s="380" t="s">
        <v>1028</v>
      </c>
      <c r="B44" s="380"/>
      <c r="C44" s="380"/>
      <c r="D44" s="380"/>
      <c r="E44" s="380"/>
      <c r="F44" s="220"/>
      <c r="G44" s="220"/>
      <c r="H44" s="220"/>
      <c r="I44" s="380"/>
      <c r="J44" s="380"/>
      <c r="K44" s="380"/>
      <c r="L44" s="380"/>
      <c r="M44" s="380"/>
      <c r="N44" s="380"/>
      <c r="O44" s="409" t="s">
        <v>1035</v>
      </c>
    </row>
    <row r="45" spans="1:18" ht="14.25" customHeight="1">
      <c r="A45" s="381" t="s">
        <v>1036</v>
      </c>
      <c r="B45" s="17"/>
      <c r="C45" s="1806"/>
      <c r="D45" s="1806"/>
      <c r="E45" s="9"/>
      <c r="K45" s="1807"/>
      <c r="L45" s="1806"/>
      <c r="M45" s="1806"/>
      <c r="N45" s="1806"/>
      <c r="O45" s="412" t="s">
        <v>1037</v>
      </c>
    </row>
    <row r="46" spans="1:18">
      <c r="B46" s="1461"/>
      <c r="C46" s="1808"/>
      <c r="D46" s="1808"/>
      <c r="E46" s="1808"/>
      <c r="F46" s="1808"/>
      <c r="G46" s="1808"/>
      <c r="H46" s="1808"/>
      <c r="I46" s="1808"/>
      <c r="J46" s="1808"/>
      <c r="K46" s="1808"/>
      <c r="L46" s="1808"/>
      <c r="M46" s="1808"/>
      <c r="N46" s="1808"/>
      <c r="O46" s="1808"/>
    </row>
    <row r="47" spans="1:18" ht="14.25">
      <c r="A47" s="319" t="s">
        <v>1038</v>
      </c>
      <c r="B47" s="1461"/>
      <c r="C47" s="1461"/>
      <c r="D47" s="1461"/>
      <c r="E47" s="1461"/>
      <c r="F47" s="1461"/>
      <c r="G47" s="1461"/>
      <c r="H47" s="1461"/>
      <c r="I47" s="1461"/>
      <c r="J47" s="1461"/>
      <c r="K47" s="1461"/>
      <c r="L47" s="1461"/>
      <c r="M47" s="1461"/>
      <c r="N47" s="1461"/>
      <c r="O47" s="1461"/>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80" zoomScaleNormal="80" workbookViewId="0">
      <pane ySplit="12" topLeftCell="A30" activePane="bottomLeft" state="frozen"/>
      <selection activeCell="B12" sqref="B12"/>
      <selection pane="bottomLeft" activeCell="O35" sqref="O35"/>
    </sheetView>
  </sheetViews>
  <sheetFormatPr defaultColWidth="9.140625" defaultRowHeight="12.75"/>
  <cols>
    <col min="1" max="2" width="9.7109375" style="381" customWidth="1"/>
    <col min="3" max="3" width="12.7109375" style="381" customWidth="1"/>
    <col min="4" max="4" width="11.85546875" style="381" customWidth="1"/>
    <col min="5" max="5" width="12.7109375" style="381" customWidth="1"/>
    <col min="6" max="6" width="11.7109375" style="381" customWidth="1"/>
    <col min="7" max="7" width="12.28515625" style="381" customWidth="1"/>
    <col min="8" max="8" width="10.7109375" style="381" customWidth="1"/>
    <col min="9" max="9" width="10.28515625" style="381" customWidth="1"/>
    <col min="10" max="10" width="11.85546875" style="381" customWidth="1"/>
    <col min="11" max="11" width="12.7109375" style="381" customWidth="1"/>
    <col min="12" max="12" width="13.42578125" style="381" customWidth="1"/>
    <col min="13" max="13" width="12.7109375" style="381" customWidth="1"/>
    <col min="14" max="15" width="11.7109375" style="381" customWidth="1"/>
    <col min="16" max="16" width="10.7109375" style="381" customWidth="1"/>
    <col min="17" max="17" width="10.28515625" style="381" customWidth="1"/>
    <col min="18" max="18" width="8.28515625" style="381" customWidth="1"/>
    <col min="19" max="16384" width="9.140625" style="381"/>
  </cols>
  <sheetData>
    <row r="1" spans="1:22" ht="18">
      <c r="A1" s="277" t="s">
        <v>1764</v>
      </c>
      <c r="B1" s="1740"/>
      <c r="C1" s="1740"/>
      <c r="D1" s="1740"/>
      <c r="E1" s="1740"/>
      <c r="F1" s="1740"/>
      <c r="G1" s="1740"/>
      <c r="H1" s="1740"/>
      <c r="I1" s="1740"/>
      <c r="J1" s="1740"/>
      <c r="K1" s="1740"/>
      <c r="L1" s="1740"/>
      <c r="M1" s="1740"/>
      <c r="N1" s="1740"/>
      <c r="O1" s="1740"/>
      <c r="P1" s="1740"/>
      <c r="Q1" s="1740"/>
    </row>
    <row r="2" spans="1:22" ht="18">
      <c r="A2" s="277" t="s">
        <v>1039</v>
      </c>
      <c r="B2" s="1740"/>
      <c r="C2" s="1740"/>
      <c r="D2" s="1740"/>
      <c r="E2" s="1740"/>
      <c r="F2" s="1740"/>
      <c r="G2" s="1740"/>
      <c r="H2" s="1740"/>
      <c r="I2" s="1740"/>
      <c r="J2" s="1740"/>
      <c r="K2" s="1740"/>
      <c r="L2" s="1740"/>
      <c r="M2" s="1740"/>
      <c r="N2" s="1740"/>
      <c r="O2" s="1740"/>
      <c r="P2" s="1740"/>
      <c r="Q2" s="1740"/>
    </row>
    <row r="3" spans="1:22" ht="18">
      <c r="A3" s="277" t="s">
        <v>1040</v>
      </c>
      <c r="B3" s="1740"/>
      <c r="C3" s="1740"/>
      <c r="D3" s="1740"/>
      <c r="E3" s="1740"/>
      <c r="F3" s="1740"/>
      <c r="G3" s="1740"/>
      <c r="H3" s="1740"/>
      <c r="I3" s="1740"/>
      <c r="J3" s="1740"/>
      <c r="K3" s="1740"/>
      <c r="L3" s="1740"/>
      <c r="M3" s="1740"/>
      <c r="N3" s="1740"/>
      <c r="O3" s="1740"/>
      <c r="P3" s="1740"/>
      <c r="Q3" s="1740"/>
    </row>
    <row r="4" spans="1:22" s="306" customFormat="1" ht="14.25">
      <c r="A4" s="306" t="s">
        <v>756</v>
      </c>
      <c r="B4" s="319"/>
      <c r="Q4" s="1446" t="s">
        <v>757</v>
      </c>
    </row>
    <row r="5" spans="1:22" s="306" customFormat="1" ht="14.25" hidden="1">
      <c r="B5" s="319"/>
      <c r="Q5" s="1446"/>
    </row>
    <row r="6" spans="1:22" s="306" customFormat="1" ht="14.25" hidden="1">
      <c r="B6" s="319"/>
      <c r="Q6" s="1446"/>
    </row>
    <row r="7" spans="1:22" s="306" customFormat="1" ht="14.25" hidden="1">
      <c r="B7" s="319"/>
      <c r="Q7" s="1446"/>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772</v>
      </c>
      <c r="D9" s="182" t="s">
        <v>919</v>
      </c>
      <c r="E9" s="177" t="s">
        <v>920</v>
      </c>
      <c r="F9" s="166"/>
      <c r="G9" s="177"/>
      <c r="H9" s="166"/>
      <c r="I9" s="177"/>
      <c r="J9" s="193"/>
      <c r="K9" s="182" t="s">
        <v>772</v>
      </c>
      <c r="L9" s="182" t="s">
        <v>919</v>
      </c>
      <c r="M9" s="177" t="s">
        <v>920</v>
      </c>
      <c r="N9" s="166"/>
      <c r="O9" s="177"/>
      <c r="P9" s="166"/>
      <c r="Q9" s="177"/>
    </row>
    <row r="10" spans="1:22" s="176" customFormat="1" ht="18" customHeight="1">
      <c r="A10" s="163" t="s">
        <v>383</v>
      </c>
      <c r="B10" s="165"/>
      <c r="C10" s="182" t="s">
        <v>921</v>
      </c>
      <c r="D10" s="182" t="s">
        <v>922</v>
      </c>
      <c r="E10" s="177" t="s">
        <v>505</v>
      </c>
      <c r="F10" s="162" t="s">
        <v>923</v>
      </c>
      <c r="G10" s="177" t="s">
        <v>924</v>
      </c>
      <c r="H10" s="177" t="s">
        <v>925</v>
      </c>
      <c r="I10" s="177" t="s">
        <v>396</v>
      </c>
      <c r="J10" s="193" t="s">
        <v>386</v>
      </c>
      <c r="K10" s="182" t="s">
        <v>921</v>
      </c>
      <c r="L10" s="182" t="s">
        <v>922</v>
      </c>
      <c r="M10" s="177" t="s">
        <v>505</v>
      </c>
      <c r="N10" s="162" t="s">
        <v>923</v>
      </c>
      <c r="O10" s="177" t="s">
        <v>924</v>
      </c>
      <c r="P10" s="177" t="s">
        <v>925</v>
      </c>
      <c r="Q10" s="177" t="s">
        <v>396</v>
      </c>
    </row>
    <row r="11" spans="1:22" s="164" customFormat="1" ht="18" customHeight="1">
      <c r="A11" s="178" t="s">
        <v>391</v>
      </c>
      <c r="B11" s="165"/>
      <c r="C11" s="254" t="s">
        <v>926</v>
      </c>
      <c r="D11" s="256" t="s">
        <v>927</v>
      </c>
      <c r="E11" s="257" t="s">
        <v>928</v>
      </c>
      <c r="F11" s="258" t="s">
        <v>929</v>
      </c>
      <c r="G11" s="258" t="s">
        <v>930</v>
      </c>
      <c r="H11" s="258" t="s">
        <v>931</v>
      </c>
      <c r="I11" s="258" t="s">
        <v>404</v>
      </c>
      <c r="J11" s="259" t="s">
        <v>397</v>
      </c>
      <c r="K11" s="254" t="s">
        <v>926</v>
      </c>
      <c r="L11" s="256" t="s">
        <v>927</v>
      </c>
      <c r="M11" s="260" t="s">
        <v>928</v>
      </c>
      <c r="N11" s="258" t="s">
        <v>929</v>
      </c>
      <c r="O11" s="258" t="s">
        <v>930</v>
      </c>
      <c r="P11" s="258" t="s">
        <v>931</v>
      </c>
      <c r="Q11" s="258" t="s">
        <v>404</v>
      </c>
    </row>
    <row r="12" spans="1:22" s="164" customFormat="1" ht="18" customHeight="1">
      <c r="A12" s="179"/>
      <c r="B12" s="170"/>
      <c r="C12" s="255" t="s">
        <v>932</v>
      </c>
      <c r="D12" s="255"/>
      <c r="E12" s="261" t="s">
        <v>933</v>
      </c>
      <c r="F12" s="262" t="s">
        <v>786</v>
      </c>
      <c r="G12" s="262"/>
      <c r="H12" s="262"/>
      <c r="I12" s="262"/>
      <c r="J12" s="263"/>
      <c r="K12" s="255" t="s">
        <v>932</v>
      </c>
      <c r="L12" s="255"/>
      <c r="M12" s="262" t="s">
        <v>933</v>
      </c>
      <c r="N12" s="262" t="s">
        <v>786</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4"/>
      <c r="U13" s="1024"/>
    </row>
    <row r="14" spans="1:22" s="1024"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4"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4"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4"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4"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4"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4"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4" customFormat="1" ht="18.75" customHeight="1">
      <c r="A21" s="873">
        <v>2023</v>
      </c>
      <c r="B21" s="874"/>
      <c r="C21" s="385">
        <f t="shared" ref="C21:Q21" si="0">C26</f>
        <v>20602.069929909991</v>
      </c>
      <c r="D21" s="385">
        <f t="shared" si="0"/>
        <v>32440.658075935993</v>
      </c>
      <c r="E21" s="386">
        <f t="shared" si="0"/>
        <v>7581.6086716217669</v>
      </c>
      <c r="F21" s="386">
        <f t="shared" si="0"/>
        <v>19864.403147399196</v>
      </c>
      <c r="G21" s="386">
        <f t="shared" si="0"/>
        <v>40819.090283766287</v>
      </c>
      <c r="H21" s="386">
        <f t="shared" si="0"/>
        <v>8437.0987123190589</v>
      </c>
      <c r="I21" s="386">
        <f t="shared" si="0"/>
        <v>1706.8409748305712</v>
      </c>
      <c r="J21" s="653">
        <f t="shared" si="0"/>
        <v>131451.76979578286</v>
      </c>
      <c r="K21" s="385">
        <f t="shared" si="0"/>
        <v>13851.958579643491</v>
      </c>
      <c r="L21" s="385">
        <f t="shared" si="0"/>
        <v>54235.289352198204</v>
      </c>
      <c r="M21" s="386">
        <f t="shared" si="0"/>
        <v>15277.660284697569</v>
      </c>
      <c r="N21" s="386">
        <f t="shared" si="0"/>
        <v>3098.8971894289048</v>
      </c>
      <c r="O21" s="386">
        <f t="shared" si="0"/>
        <v>33728.836004678269</v>
      </c>
      <c r="P21" s="386">
        <f t="shared" si="0"/>
        <v>8914.7858874932699</v>
      </c>
      <c r="Q21" s="386">
        <f t="shared" si="0"/>
        <v>2344.3424976431561</v>
      </c>
      <c r="R21" s="352"/>
      <c r="S21" s="352"/>
      <c r="V21" s="180"/>
    </row>
    <row r="22" spans="1:22" s="1024" customFormat="1" ht="18.75" customHeight="1">
      <c r="A22" s="1019">
        <v>2024</v>
      </c>
      <c r="B22" s="1020"/>
      <c r="C22" s="1021">
        <f t="shared" ref="C22:Q22" si="1">C30</f>
        <v>18454.797295045304</v>
      </c>
      <c r="D22" s="1021">
        <f t="shared" si="1"/>
        <v>33833.516129427946</v>
      </c>
      <c r="E22" s="1325">
        <f t="shared" si="1"/>
        <v>7434.4302888134898</v>
      </c>
      <c r="F22" s="1022">
        <f t="shared" si="1"/>
        <v>25824.764246881081</v>
      </c>
      <c r="G22" s="1022">
        <f t="shared" si="1"/>
        <v>39759.67449198087</v>
      </c>
      <c r="H22" s="1022">
        <f t="shared" si="1"/>
        <v>9444.0419557111236</v>
      </c>
      <c r="I22" s="1022">
        <f t="shared" si="1"/>
        <v>2146.913910915493</v>
      </c>
      <c r="J22" s="1023">
        <f t="shared" si="1"/>
        <v>136898.13831877531</v>
      </c>
      <c r="K22" s="1021">
        <f t="shared" si="1"/>
        <v>12832.276220607526</v>
      </c>
      <c r="L22" s="1021">
        <f t="shared" si="1"/>
        <v>54630.770053255779</v>
      </c>
      <c r="M22" s="1022">
        <f t="shared" si="1"/>
        <v>15464.724053867181</v>
      </c>
      <c r="N22" s="1022">
        <f t="shared" si="1"/>
        <v>2750.5711804065463</v>
      </c>
      <c r="O22" s="1022">
        <f t="shared" si="1"/>
        <v>40087.708392642358</v>
      </c>
      <c r="P22" s="1022">
        <f t="shared" si="1"/>
        <v>10199.528509374772</v>
      </c>
      <c r="Q22" s="1022">
        <f t="shared" si="1"/>
        <v>932.5399086211587</v>
      </c>
      <c r="R22" s="352"/>
      <c r="S22" s="352"/>
      <c r="V22" s="180"/>
    </row>
    <row r="23" spans="1:22" s="1024" customFormat="1" ht="21" customHeight="1">
      <c r="A23" s="873">
        <v>2023</v>
      </c>
      <c r="B23" s="874" t="s">
        <v>243</v>
      </c>
      <c r="C23" s="385">
        <v>18543.162916960555</v>
      </c>
      <c r="D23" s="385">
        <v>27148.020037395319</v>
      </c>
      <c r="E23" s="386">
        <v>7642.2259636704694</v>
      </c>
      <c r="F23" s="386">
        <v>12274.231017709046</v>
      </c>
      <c r="G23" s="386">
        <v>40829.901420060574</v>
      </c>
      <c r="H23" s="386">
        <v>8395.3908340728867</v>
      </c>
      <c r="I23" s="386">
        <v>1601.4663057627768</v>
      </c>
      <c r="J23" s="653">
        <v>116434.39849563161</v>
      </c>
      <c r="K23" s="385">
        <v>12936.088796872613</v>
      </c>
      <c r="L23" s="385">
        <v>49130.608107917105</v>
      </c>
      <c r="M23" s="386">
        <v>14628.664466234846</v>
      </c>
      <c r="N23" s="386">
        <v>2795.9436193191295</v>
      </c>
      <c r="O23" s="386">
        <v>26152.673952582099</v>
      </c>
      <c r="P23" s="386">
        <v>9241.4189504703027</v>
      </c>
      <c r="Q23" s="386">
        <v>1549.0006022355228</v>
      </c>
      <c r="R23" s="352"/>
      <c r="S23" s="352"/>
      <c r="V23" s="180"/>
    </row>
    <row r="24" spans="1:22" s="1024" customFormat="1" ht="15.75">
      <c r="A24" s="873"/>
      <c r="B24" s="874" t="s">
        <v>244</v>
      </c>
      <c r="C24" s="385">
        <v>19546.453926773545</v>
      </c>
      <c r="D24" s="385">
        <v>29962.889050692047</v>
      </c>
      <c r="E24" s="386">
        <v>7511.2662495154564</v>
      </c>
      <c r="F24" s="386">
        <v>16784.669023652441</v>
      </c>
      <c r="G24" s="386">
        <v>39929.394365086628</v>
      </c>
      <c r="H24" s="386">
        <v>9168.3448145639668</v>
      </c>
      <c r="I24" s="386">
        <v>1445.9468740726006</v>
      </c>
      <c r="J24" s="653">
        <v>124348.96430435669</v>
      </c>
      <c r="K24" s="385">
        <v>13967.990492979707</v>
      </c>
      <c r="L24" s="385">
        <v>51127.531013459542</v>
      </c>
      <c r="M24" s="386">
        <v>14926.29179341861</v>
      </c>
      <c r="N24" s="386">
        <v>2999.7270627673029</v>
      </c>
      <c r="O24" s="386">
        <v>29448.864615527553</v>
      </c>
      <c r="P24" s="386">
        <v>9452.5880681706676</v>
      </c>
      <c r="Q24" s="386">
        <v>2425.9712580333289</v>
      </c>
      <c r="R24" s="352"/>
      <c r="S24" s="352"/>
      <c r="V24" s="180"/>
    </row>
    <row r="25" spans="1:22" s="1024" customFormat="1" ht="15.75">
      <c r="A25" s="873"/>
      <c r="B25" s="874" t="s">
        <v>245</v>
      </c>
      <c r="C25" s="385">
        <v>20207.789380314698</v>
      </c>
      <c r="D25" s="386">
        <v>32208.29007710057</v>
      </c>
      <c r="E25" s="1743">
        <v>7573.4849972263855</v>
      </c>
      <c r="F25" s="386">
        <v>18165.611931704727</v>
      </c>
      <c r="G25" s="386">
        <v>36675.797587249064</v>
      </c>
      <c r="H25" s="386">
        <v>8126.3134936041151</v>
      </c>
      <c r="I25" s="386">
        <v>1506.1715690474521</v>
      </c>
      <c r="J25" s="653">
        <v>124463.459036247</v>
      </c>
      <c r="K25" s="385">
        <v>13526.931582399448</v>
      </c>
      <c r="L25" s="385">
        <v>49754.845496130489</v>
      </c>
      <c r="M25" s="386">
        <v>15128.885655704331</v>
      </c>
      <c r="N25" s="386">
        <v>3447.5198020313637</v>
      </c>
      <c r="O25" s="386">
        <v>31523.155533316927</v>
      </c>
      <c r="P25" s="386">
        <v>9012.9753335094665</v>
      </c>
      <c r="Q25" s="386">
        <v>2069.1556331549709</v>
      </c>
      <c r="R25" s="352"/>
      <c r="S25" s="352"/>
      <c r="V25" s="180"/>
    </row>
    <row r="26" spans="1:22" s="1024" customFormat="1" ht="15.75">
      <c r="A26" s="873"/>
      <c r="B26" s="874" t="s">
        <v>242</v>
      </c>
      <c r="C26" s="385">
        <v>20602.069929909991</v>
      </c>
      <c r="D26" s="385">
        <v>32440.658075935993</v>
      </c>
      <c r="E26" s="386">
        <v>7581.6086716217669</v>
      </c>
      <c r="F26" s="386">
        <v>19864.403147399196</v>
      </c>
      <c r="G26" s="386">
        <v>40819.090283766287</v>
      </c>
      <c r="H26" s="386">
        <v>8437.0987123190589</v>
      </c>
      <c r="I26" s="386">
        <v>1706.8409748305712</v>
      </c>
      <c r="J26" s="653">
        <v>131451.76979578286</v>
      </c>
      <c r="K26" s="385">
        <v>13851.958579643491</v>
      </c>
      <c r="L26" s="385">
        <v>54235.289352198204</v>
      </c>
      <c r="M26" s="386">
        <v>15277.660284697569</v>
      </c>
      <c r="N26" s="386">
        <v>3098.8971894289048</v>
      </c>
      <c r="O26" s="386">
        <v>33728.836004678269</v>
      </c>
      <c r="P26" s="386">
        <v>8914.7858874932699</v>
      </c>
      <c r="Q26" s="386">
        <v>2344.3424976431561</v>
      </c>
      <c r="R26" s="352"/>
      <c r="S26" s="352"/>
      <c r="V26" s="180"/>
    </row>
    <row r="27" spans="1:22" s="1024" customFormat="1" ht="21" customHeight="1">
      <c r="A27" s="873">
        <v>2024</v>
      </c>
      <c r="B27" s="874" t="s">
        <v>243</v>
      </c>
      <c r="C27" s="385">
        <f t="shared" ref="C27:Q27" si="2">C34</f>
        <v>20444.653780647805</v>
      </c>
      <c r="D27" s="385">
        <f t="shared" si="2"/>
        <v>32696.442964797643</v>
      </c>
      <c r="E27" s="386">
        <f t="shared" si="2"/>
        <v>7562.3820509783118</v>
      </c>
      <c r="F27" s="386">
        <f t="shared" si="2"/>
        <v>19879.332563877688</v>
      </c>
      <c r="G27" s="386">
        <f t="shared" si="2"/>
        <v>40766.406994282457</v>
      </c>
      <c r="H27" s="386">
        <f t="shared" si="2"/>
        <v>8505.8885123546752</v>
      </c>
      <c r="I27" s="386">
        <f t="shared" si="2"/>
        <v>1999.4155874326243</v>
      </c>
      <c r="J27" s="653">
        <f t="shared" si="2"/>
        <v>131854.52245437121</v>
      </c>
      <c r="K27" s="385">
        <f t="shared" si="2"/>
        <v>14309.689400402674</v>
      </c>
      <c r="L27" s="385">
        <f t="shared" si="2"/>
        <v>52837.548762160026</v>
      </c>
      <c r="M27" s="386">
        <f t="shared" si="2"/>
        <v>15116.975389322928</v>
      </c>
      <c r="N27" s="386">
        <f t="shared" si="2"/>
        <v>3191.3317297478829</v>
      </c>
      <c r="O27" s="386">
        <f t="shared" si="2"/>
        <v>34187.530049929992</v>
      </c>
      <c r="P27" s="386">
        <f t="shared" si="2"/>
        <v>9096.0932252945913</v>
      </c>
      <c r="Q27" s="386">
        <f t="shared" si="2"/>
        <v>3115.3538975131232</v>
      </c>
      <c r="R27" s="352"/>
      <c r="S27" s="352"/>
      <c r="V27" s="180"/>
    </row>
    <row r="28" spans="1:22" s="1024" customFormat="1" ht="15" customHeight="1">
      <c r="A28" s="873"/>
      <c r="B28" s="874" t="s">
        <v>244</v>
      </c>
      <c r="C28" s="385">
        <f t="shared" ref="C28:Q28" si="3">C37</f>
        <v>20558.724855364679</v>
      </c>
      <c r="D28" s="385">
        <f t="shared" si="3"/>
        <v>32919.390544133465</v>
      </c>
      <c r="E28" s="386">
        <f t="shared" si="3"/>
        <v>7642.8985026219107</v>
      </c>
      <c r="F28" s="386">
        <f t="shared" si="3"/>
        <v>20883.671734533535</v>
      </c>
      <c r="G28" s="386">
        <f t="shared" si="3"/>
        <v>41212.384684806908</v>
      </c>
      <c r="H28" s="386">
        <f t="shared" si="3"/>
        <v>8943.7119827157258</v>
      </c>
      <c r="I28" s="386">
        <f t="shared" si="3"/>
        <v>1920.6126000948716</v>
      </c>
      <c r="J28" s="653">
        <f t="shared" si="3"/>
        <v>134081.39490427109</v>
      </c>
      <c r="K28" s="385">
        <f t="shared" si="3"/>
        <v>13579.174632176859</v>
      </c>
      <c r="L28" s="385">
        <f t="shared" si="3"/>
        <v>51365.480649140896</v>
      </c>
      <c r="M28" s="386">
        <f t="shared" si="3"/>
        <v>15919.605518126962</v>
      </c>
      <c r="N28" s="386">
        <f t="shared" si="3"/>
        <v>3290.0865920648384</v>
      </c>
      <c r="O28" s="386">
        <f t="shared" si="3"/>
        <v>38248.011779358669</v>
      </c>
      <c r="P28" s="386">
        <f t="shared" si="3"/>
        <v>9114.1386101029457</v>
      </c>
      <c r="Q28" s="386">
        <f t="shared" si="3"/>
        <v>2564.8971232999174</v>
      </c>
      <c r="R28" s="352"/>
      <c r="S28" s="352"/>
      <c r="V28" s="180"/>
    </row>
    <row r="29" spans="1:22" s="1024" customFormat="1" ht="15" customHeight="1">
      <c r="A29" s="873"/>
      <c r="B29" s="874" t="s">
        <v>245</v>
      </c>
      <c r="C29" s="385">
        <f t="shared" ref="C29:Q29" si="4">C40</f>
        <v>20989.508404360276</v>
      </c>
      <c r="D29" s="385">
        <f t="shared" si="4"/>
        <v>34888.721952740678</v>
      </c>
      <c r="E29" s="386">
        <f t="shared" si="4"/>
        <v>7174.7439461866716</v>
      </c>
      <c r="F29" s="386">
        <f t="shared" si="4"/>
        <v>21953.429404928087</v>
      </c>
      <c r="G29" s="386">
        <f t="shared" si="4"/>
        <v>42627.417675537086</v>
      </c>
      <c r="H29" s="386">
        <f t="shared" si="4"/>
        <v>9280.5381744141614</v>
      </c>
      <c r="I29" s="386">
        <f t="shared" si="4"/>
        <v>2356.4945269202753</v>
      </c>
      <c r="J29" s="653">
        <f t="shared" si="4"/>
        <v>139270.65408508724</v>
      </c>
      <c r="K29" s="385">
        <f t="shared" si="4"/>
        <v>13561.328294938699</v>
      </c>
      <c r="L29" s="385">
        <f t="shared" si="4"/>
        <v>55460.18217343124</v>
      </c>
      <c r="M29" s="386">
        <f t="shared" si="4"/>
        <v>15790.058139156188</v>
      </c>
      <c r="N29" s="386">
        <f t="shared" si="4"/>
        <v>3399.8785775303604</v>
      </c>
      <c r="O29" s="386">
        <f t="shared" si="4"/>
        <v>39759.304505752254</v>
      </c>
      <c r="P29" s="386">
        <f t="shared" si="4"/>
        <v>8695.3940038431065</v>
      </c>
      <c r="Q29" s="386">
        <f t="shared" si="4"/>
        <v>2604.508390435396</v>
      </c>
      <c r="R29" s="352"/>
      <c r="S29" s="352"/>
      <c r="V29" s="180"/>
    </row>
    <row r="30" spans="1:22" s="1024" customFormat="1" ht="15" customHeight="1">
      <c r="A30" s="1019"/>
      <c r="B30" s="1020" t="s">
        <v>242</v>
      </c>
      <c r="C30" s="1021">
        <f t="shared" ref="C30:Q30" si="5">C43</f>
        <v>18454.797295045304</v>
      </c>
      <c r="D30" s="1021">
        <f t="shared" si="5"/>
        <v>33833.516129427946</v>
      </c>
      <c r="E30" s="1022">
        <f t="shared" si="5"/>
        <v>7434.4302888134898</v>
      </c>
      <c r="F30" s="1022">
        <f t="shared" si="5"/>
        <v>25824.764246881081</v>
      </c>
      <c r="G30" s="1022">
        <f t="shared" si="5"/>
        <v>39759.67449198087</v>
      </c>
      <c r="H30" s="1022">
        <f t="shared" si="5"/>
        <v>9444.0419557111236</v>
      </c>
      <c r="I30" s="1022">
        <f t="shared" si="5"/>
        <v>2146.913910915493</v>
      </c>
      <c r="J30" s="1023">
        <f t="shared" si="5"/>
        <v>136898.13831877531</v>
      </c>
      <c r="K30" s="1021">
        <f t="shared" si="5"/>
        <v>12832.276220607526</v>
      </c>
      <c r="L30" s="1021">
        <f t="shared" si="5"/>
        <v>54630.770053255779</v>
      </c>
      <c r="M30" s="1022">
        <f t="shared" si="5"/>
        <v>15464.724053867181</v>
      </c>
      <c r="N30" s="1022">
        <f t="shared" si="5"/>
        <v>2750.5711804065463</v>
      </c>
      <c r="O30" s="1022">
        <f t="shared" si="5"/>
        <v>40087.708392642358</v>
      </c>
      <c r="P30" s="1022">
        <f t="shared" si="5"/>
        <v>10199.528509374772</v>
      </c>
      <c r="Q30" s="1022">
        <f t="shared" si="5"/>
        <v>932.5399086211587</v>
      </c>
      <c r="R30" s="352"/>
      <c r="S30" s="352"/>
      <c r="V30" s="180"/>
    </row>
    <row r="31" spans="1:22" s="180" customFormat="1" ht="21" customHeight="1">
      <c r="A31" s="873">
        <v>2023</v>
      </c>
      <c r="B31" s="874" t="s">
        <v>426</v>
      </c>
      <c r="C31" s="385">
        <v>20602.069929909991</v>
      </c>
      <c r="D31" s="385">
        <v>32440.658075935993</v>
      </c>
      <c r="E31" s="385">
        <v>7581.6086716217669</v>
      </c>
      <c r="F31" s="385">
        <v>19864.403147399196</v>
      </c>
      <c r="G31" s="385">
        <v>40819.090283766287</v>
      </c>
      <c r="H31" s="385">
        <v>8437.0987123190589</v>
      </c>
      <c r="I31" s="386">
        <v>1706.8409748305712</v>
      </c>
      <c r="J31" s="653">
        <v>131451.76979578286</v>
      </c>
      <c r="K31" s="385">
        <v>13851.958579643491</v>
      </c>
      <c r="L31" s="385">
        <v>54235.289352198204</v>
      </c>
      <c r="M31" s="385">
        <v>15277.660284697569</v>
      </c>
      <c r="N31" s="385">
        <v>3098.8971894289048</v>
      </c>
      <c r="O31" s="385">
        <v>33728.836004678269</v>
      </c>
      <c r="P31" s="385">
        <v>8914.7858874932699</v>
      </c>
      <c r="Q31" s="386">
        <v>2344.3424976431561</v>
      </c>
      <c r="R31" s="352"/>
      <c r="S31" s="352"/>
    </row>
    <row r="32" spans="1:22" s="180" customFormat="1" ht="21" customHeight="1">
      <c r="A32" s="873">
        <v>2024</v>
      </c>
      <c r="B32" s="874" t="s">
        <v>427</v>
      </c>
      <c r="C32" s="385">
        <v>20784.792839894595</v>
      </c>
      <c r="D32" s="385">
        <v>32601.746224690483</v>
      </c>
      <c r="E32" s="385">
        <v>7404.6598573644906</v>
      </c>
      <c r="F32" s="385">
        <v>17550.805214948654</v>
      </c>
      <c r="G32" s="385">
        <v>40806.835265044479</v>
      </c>
      <c r="H32" s="385">
        <v>8704.4870615717191</v>
      </c>
      <c r="I32" s="386">
        <f t="shared" ref="I32:I36" si="6">$J32-SUM(C32:H32)</f>
        <v>1689.7146398011682</v>
      </c>
      <c r="J32" s="653">
        <v>129543.0411033156</v>
      </c>
      <c r="K32" s="385">
        <v>13251.292176462883</v>
      </c>
      <c r="L32" s="385">
        <v>53528.035410506243</v>
      </c>
      <c r="M32" s="385">
        <v>15425.741397720729</v>
      </c>
      <c r="N32" s="385">
        <v>3253.7575633312968</v>
      </c>
      <c r="O32" s="385">
        <v>32181.475226493254</v>
      </c>
      <c r="P32" s="385">
        <v>8778.4492050337794</v>
      </c>
      <c r="Q32" s="386">
        <f t="shared" ref="Q32:Q34" si="7">$J32-SUM(K32:P32)</f>
        <v>3124.2901237674232</v>
      </c>
      <c r="R32" s="352"/>
      <c r="S32" s="352"/>
    </row>
    <row r="33" spans="1:19" s="180" customFormat="1" ht="15.75">
      <c r="A33" s="873"/>
      <c r="B33" s="874" t="s">
        <v>416</v>
      </c>
      <c r="C33" s="385">
        <v>20571.784795542997</v>
      </c>
      <c r="D33" s="385">
        <v>33561.619185877047</v>
      </c>
      <c r="E33" s="385">
        <v>7594.3581314905496</v>
      </c>
      <c r="F33" s="385">
        <v>15727.369038351599</v>
      </c>
      <c r="G33" s="385">
        <v>40783.91885688094</v>
      </c>
      <c r="H33" s="385">
        <v>8735.6390561142071</v>
      </c>
      <c r="I33" s="386">
        <f t="shared" si="6"/>
        <v>1655.8461361260124</v>
      </c>
      <c r="J33" s="653">
        <v>128630.53520038334</v>
      </c>
      <c r="K33" s="385">
        <v>14326.052391859559</v>
      </c>
      <c r="L33" s="385">
        <v>54349.644309622883</v>
      </c>
      <c r="M33" s="385">
        <v>15260.734074389387</v>
      </c>
      <c r="N33" s="385">
        <v>3137.7634178914891</v>
      </c>
      <c r="O33" s="385">
        <v>29533.929881200187</v>
      </c>
      <c r="P33" s="385">
        <v>8809.8901697114743</v>
      </c>
      <c r="Q33" s="386">
        <f t="shared" si="7"/>
        <v>3212.5209557083581</v>
      </c>
      <c r="R33" s="352"/>
      <c r="S33" s="352"/>
    </row>
    <row r="34" spans="1:19" s="180" customFormat="1" ht="15.75">
      <c r="A34" s="873"/>
      <c r="B34" s="874" t="s">
        <v>417</v>
      </c>
      <c r="C34" s="385">
        <v>20444.653780647805</v>
      </c>
      <c r="D34" s="385">
        <v>32696.442964797643</v>
      </c>
      <c r="E34" s="385">
        <v>7562.3820509783118</v>
      </c>
      <c r="F34" s="385">
        <v>19879.332563877688</v>
      </c>
      <c r="G34" s="385">
        <v>40766.406994282457</v>
      </c>
      <c r="H34" s="385">
        <v>8505.8885123546752</v>
      </c>
      <c r="I34" s="386">
        <f t="shared" si="6"/>
        <v>1999.4155874326243</v>
      </c>
      <c r="J34" s="653">
        <v>131854.52245437121</v>
      </c>
      <c r="K34" s="385">
        <v>14309.689400402674</v>
      </c>
      <c r="L34" s="385">
        <v>52837.548762160026</v>
      </c>
      <c r="M34" s="385">
        <v>15116.975389322928</v>
      </c>
      <c r="N34" s="385">
        <v>3191.3317297478829</v>
      </c>
      <c r="O34" s="385">
        <v>34187.530049929992</v>
      </c>
      <c r="P34" s="385">
        <v>9096.0932252945913</v>
      </c>
      <c r="Q34" s="386">
        <f t="shared" si="7"/>
        <v>3115.3538975131232</v>
      </c>
      <c r="R34" s="352"/>
      <c r="S34" s="352"/>
    </row>
    <row r="35" spans="1:19" s="180" customFormat="1" ht="15.75">
      <c r="A35" s="873"/>
      <c r="B35" s="874" t="s">
        <v>418</v>
      </c>
      <c r="C35" s="385">
        <v>20721.097699063816</v>
      </c>
      <c r="D35" s="385">
        <v>33618.33798773856</v>
      </c>
      <c r="E35" s="385">
        <v>7568.3400435576441</v>
      </c>
      <c r="F35" s="385">
        <v>15772.056080179662</v>
      </c>
      <c r="G35" s="385">
        <v>42446.581657266441</v>
      </c>
      <c r="H35" s="385">
        <v>8559.2662905752131</v>
      </c>
      <c r="I35" s="386">
        <f t="shared" si="6"/>
        <v>1979.708055310155</v>
      </c>
      <c r="J35" s="653">
        <v>130665.38781369149</v>
      </c>
      <c r="K35" s="385">
        <v>13883.776625785433</v>
      </c>
      <c r="L35" s="385">
        <v>55627.640704557743</v>
      </c>
      <c r="M35" s="385">
        <v>14816.796810895521</v>
      </c>
      <c r="N35" s="385">
        <v>3203.1662245165467</v>
      </c>
      <c r="O35" s="385">
        <v>31563.776211154545</v>
      </c>
      <c r="P35" s="385">
        <v>8465.1816680616757</v>
      </c>
      <c r="Q35" s="386">
        <f t="shared" ref="Q35" si="8">$J35-SUM(K35:P35)</f>
        <v>3105.0495687200164</v>
      </c>
      <c r="R35" s="352"/>
      <c r="S35" s="352"/>
    </row>
    <row r="36" spans="1:19" s="180" customFormat="1" ht="15.75">
      <c r="A36" s="873"/>
      <c r="B36" s="874" t="s">
        <v>419</v>
      </c>
      <c r="C36" s="385">
        <v>20600.156347491349</v>
      </c>
      <c r="D36" s="385">
        <v>32228.984356207209</v>
      </c>
      <c r="E36" s="385">
        <v>7748.5170193877693</v>
      </c>
      <c r="F36" s="385">
        <v>17723.634235835925</v>
      </c>
      <c r="G36" s="385">
        <v>44882.275763569283</v>
      </c>
      <c r="H36" s="385">
        <v>8918.0960898812937</v>
      </c>
      <c r="I36" s="386">
        <f t="shared" si="6"/>
        <v>2027.0412958079833</v>
      </c>
      <c r="J36" s="653">
        <v>134128.70510818082</v>
      </c>
      <c r="K36" s="385">
        <v>13219.076515216304</v>
      </c>
      <c r="L36" s="385">
        <v>54514.699765271456</v>
      </c>
      <c r="M36" s="385">
        <v>16130.681806852146</v>
      </c>
      <c r="N36" s="385">
        <v>3056.2610371710207</v>
      </c>
      <c r="O36" s="385">
        <v>35373.640843354071</v>
      </c>
      <c r="P36" s="385">
        <v>9234.7274848090492</v>
      </c>
      <c r="Q36" s="386">
        <f t="shared" ref="Q36" si="9">$J36-SUM(K36:P36)</f>
        <v>2599.617655506765</v>
      </c>
      <c r="R36" s="352"/>
      <c r="S36" s="352"/>
    </row>
    <row r="37" spans="1:19" s="180" customFormat="1" ht="15.75">
      <c r="A37" s="873"/>
      <c r="B37" s="874" t="s">
        <v>420</v>
      </c>
      <c r="C37" s="385">
        <v>20558.724855364679</v>
      </c>
      <c r="D37" s="385">
        <v>32919.390544133465</v>
      </c>
      <c r="E37" s="385">
        <v>7642.8985026219107</v>
      </c>
      <c r="F37" s="385">
        <v>20883.671734533535</v>
      </c>
      <c r="G37" s="385">
        <v>41212.384684806908</v>
      </c>
      <c r="H37" s="385">
        <v>8943.7119827157258</v>
      </c>
      <c r="I37" s="386">
        <f t="shared" ref="I37" si="10">$J37-SUM(C37:H37)</f>
        <v>1920.6126000948716</v>
      </c>
      <c r="J37" s="653">
        <v>134081.39490427109</v>
      </c>
      <c r="K37" s="385">
        <v>13579.174632176859</v>
      </c>
      <c r="L37" s="385">
        <v>51365.480649140896</v>
      </c>
      <c r="M37" s="385">
        <v>15919.605518126962</v>
      </c>
      <c r="N37" s="385">
        <v>3290.0865920648384</v>
      </c>
      <c r="O37" s="385">
        <v>38248.011779358669</v>
      </c>
      <c r="P37" s="385">
        <v>9114.1386101029457</v>
      </c>
      <c r="Q37" s="386">
        <f t="shared" ref="Q37" si="11">$J37-SUM(K37:P37)</f>
        <v>2564.8971232999174</v>
      </c>
      <c r="R37" s="352"/>
      <c r="S37" s="352"/>
    </row>
    <row r="38" spans="1:19" s="180" customFormat="1" ht="15.75">
      <c r="A38" s="873"/>
      <c r="B38" s="874" t="s">
        <v>421</v>
      </c>
      <c r="C38" s="385">
        <v>21134.044073996905</v>
      </c>
      <c r="D38" s="385">
        <v>33234.971376934933</v>
      </c>
      <c r="E38" s="385">
        <v>7560.0406236835261</v>
      </c>
      <c r="F38" s="385">
        <v>18222.114004646774</v>
      </c>
      <c r="G38" s="385">
        <v>45387.360858116968</v>
      </c>
      <c r="H38" s="385">
        <v>8543.3899029225468</v>
      </c>
      <c r="I38" s="386">
        <f t="shared" ref="I38" si="12">$J38-SUM(C38:H38)</f>
        <v>1983.4910510476329</v>
      </c>
      <c r="J38" s="653">
        <v>136065.4118913493</v>
      </c>
      <c r="K38" s="385">
        <v>13409.95535388361</v>
      </c>
      <c r="L38" s="385">
        <v>56835.740076072594</v>
      </c>
      <c r="M38" s="385">
        <v>15844.565400708159</v>
      </c>
      <c r="N38" s="385">
        <v>3274.4923838129184</v>
      </c>
      <c r="O38" s="385">
        <v>34875.016100038949</v>
      </c>
      <c r="P38" s="385">
        <v>9093.5082894337411</v>
      </c>
      <c r="Q38" s="386">
        <f t="shared" ref="Q38" si="13">$J38-SUM(K38:P38)</f>
        <v>2732.1342873993271</v>
      </c>
      <c r="R38" s="352"/>
      <c r="S38" s="352"/>
    </row>
    <row r="39" spans="1:19" s="180" customFormat="1" ht="15.75">
      <c r="A39" s="873"/>
      <c r="B39" s="874" t="s">
        <v>422</v>
      </c>
      <c r="C39" s="385">
        <v>20938.262734832151</v>
      </c>
      <c r="D39" s="385">
        <v>34159.252337387406</v>
      </c>
      <c r="E39" s="385">
        <v>7270.3374024745544</v>
      </c>
      <c r="F39" s="385">
        <v>17251.708823759502</v>
      </c>
      <c r="G39" s="385">
        <v>41744.139887472928</v>
      </c>
      <c r="H39" s="385">
        <v>8806.6114378062412</v>
      </c>
      <c r="I39" s="386">
        <f>$J39-SUM(C39:H39)+0.01</f>
        <v>2249.956211481438</v>
      </c>
      <c r="J39" s="653">
        <v>132420.25883521422</v>
      </c>
      <c r="K39" s="385">
        <v>13116.04368410741</v>
      </c>
      <c r="L39" s="385">
        <v>53669.742759738576</v>
      </c>
      <c r="M39" s="385">
        <v>15404.755050093332</v>
      </c>
      <c r="N39" s="385">
        <v>3330.0629843347324</v>
      </c>
      <c r="O39" s="385">
        <v>34948.187631964742</v>
      </c>
      <c r="P39" s="385">
        <v>8818.6067028579037</v>
      </c>
      <c r="Q39" s="386">
        <f t="shared" ref="Q39" si="14">$J39-SUM(K39:P39)</f>
        <v>3132.8600221175438</v>
      </c>
      <c r="R39" s="352"/>
      <c r="S39" s="352"/>
    </row>
    <row r="40" spans="1:19" s="180" customFormat="1" ht="15.75">
      <c r="A40" s="873"/>
      <c r="B40" s="874" t="s">
        <v>423</v>
      </c>
      <c r="C40" s="385">
        <v>20989.508404360276</v>
      </c>
      <c r="D40" s="385">
        <v>34888.721952740678</v>
      </c>
      <c r="E40" s="385">
        <v>7174.7439461866716</v>
      </c>
      <c r="F40" s="385">
        <v>21953.429404928087</v>
      </c>
      <c r="G40" s="385">
        <v>42627.417675537086</v>
      </c>
      <c r="H40" s="385">
        <v>9280.5381744141614</v>
      </c>
      <c r="I40" s="386">
        <f>$J40-SUM(C40:H40)+0.2</f>
        <v>2356.4945269202753</v>
      </c>
      <c r="J40" s="653">
        <v>139270.65408508724</v>
      </c>
      <c r="K40" s="385">
        <v>13561.328294938699</v>
      </c>
      <c r="L40" s="385">
        <v>55460.18217343124</v>
      </c>
      <c r="M40" s="385">
        <v>15790.058139156188</v>
      </c>
      <c r="N40" s="385">
        <v>3399.8785775303604</v>
      </c>
      <c r="O40" s="385">
        <v>39759.304505752254</v>
      </c>
      <c r="P40" s="385">
        <v>8695.3940038431065</v>
      </c>
      <c r="Q40" s="386">
        <f t="shared" ref="Q40" si="15">$J40-SUM(K40:P40)</f>
        <v>2604.508390435396</v>
      </c>
      <c r="R40" s="352"/>
      <c r="S40" s="352"/>
    </row>
    <row r="41" spans="1:19" s="180" customFormat="1" ht="15.75">
      <c r="A41" s="873"/>
      <c r="B41" s="874" t="s">
        <v>424</v>
      </c>
      <c r="C41" s="385">
        <v>20047.279525871814</v>
      </c>
      <c r="D41" s="385">
        <v>33659.490247832262</v>
      </c>
      <c r="E41" s="385">
        <v>7191.7739952056654</v>
      </c>
      <c r="F41" s="385">
        <v>23124.190444045915</v>
      </c>
      <c r="G41" s="385">
        <v>43381.49479839069</v>
      </c>
      <c r="H41" s="385">
        <v>9087.6423247712955</v>
      </c>
      <c r="I41" s="386">
        <f>$J41-SUM(C41:H41)</f>
        <v>2358.0799773701001</v>
      </c>
      <c r="J41" s="653">
        <v>138849.95131348772</v>
      </c>
      <c r="K41" s="385">
        <v>13585.696367082437</v>
      </c>
      <c r="L41" s="385">
        <v>56391.959941216883</v>
      </c>
      <c r="M41" s="385">
        <v>15229.166661304271</v>
      </c>
      <c r="N41" s="385">
        <v>3141.7991427672819</v>
      </c>
      <c r="O41" s="385">
        <v>40434.987173364105</v>
      </c>
      <c r="P41" s="385">
        <v>9151.5189623731421</v>
      </c>
      <c r="Q41" s="386">
        <f t="shared" ref="Q41" si="16">$J41-SUM(K41:P41)</f>
        <v>914.82306537957629</v>
      </c>
      <c r="R41" s="352"/>
      <c r="S41" s="352"/>
    </row>
    <row r="42" spans="1:19" s="180" customFormat="1" ht="15.75">
      <c r="A42" s="873"/>
      <c r="B42" s="874" t="s">
        <v>425</v>
      </c>
      <c r="C42" s="385">
        <v>20522.15719304885</v>
      </c>
      <c r="D42" s="385">
        <v>35302.531812198293</v>
      </c>
      <c r="E42" s="385">
        <v>6602.1260183939812</v>
      </c>
      <c r="F42" s="385">
        <v>21359.455264769575</v>
      </c>
      <c r="G42" s="385">
        <v>40280.290769411826</v>
      </c>
      <c r="H42" s="385">
        <v>8908.4013421863638</v>
      </c>
      <c r="I42" s="386">
        <f>$J42-SUM(C42:H42)</f>
        <v>2375.0012894127576</v>
      </c>
      <c r="J42" s="653">
        <v>135349.96368942162</v>
      </c>
      <c r="K42" s="385">
        <v>13402.465108887533</v>
      </c>
      <c r="L42" s="385">
        <v>52755.79485735733</v>
      </c>
      <c r="M42" s="385">
        <v>15278.67703880788</v>
      </c>
      <c r="N42" s="385">
        <v>3197.6500719241421</v>
      </c>
      <c r="O42" s="385">
        <v>39831.647858021024</v>
      </c>
      <c r="P42" s="385">
        <v>9995.0069287086226</v>
      </c>
      <c r="Q42" s="386">
        <f t="shared" ref="Q42" si="17">$J42-SUM(K42:P42)</f>
        <v>888.7218257150671</v>
      </c>
      <c r="R42" s="352"/>
      <c r="S42" s="352"/>
    </row>
    <row r="43" spans="1:19" s="180" customFormat="1" ht="15.75">
      <c r="A43" s="873"/>
      <c r="B43" s="874" t="s">
        <v>426</v>
      </c>
      <c r="C43" s="385">
        <v>18454.797295045304</v>
      </c>
      <c r="D43" s="385">
        <v>33833.516129427946</v>
      </c>
      <c r="E43" s="385">
        <v>7434.4302888134898</v>
      </c>
      <c r="F43" s="385">
        <v>25824.764246881081</v>
      </c>
      <c r="G43" s="385">
        <v>39759.67449198087</v>
      </c>
      <c r="H43" s="385">
        <v>9444.0419557111236</v>
      </c>
      <c r="I43" s="386">
        <f>$J43-SUM(C43:H43)</f>
        <v>2146.913910915493</v>
      </c>
      <c r="J43" s="653">
        <v>136898.13831877531</v>
      </c>
      <c r="K43" s="385">
        <v>12832.276220607526</v>
      </c>
      <c r="L43" s="385">
        <v>54630.770053255779</v>
      </c>
      <c r="M43" s="385">
        <v>15464.724053867181</v>
      </c>
      <c r="N43" s="385">
        <v>2750.5711804065463</v>
      </c>
      <c r="O43" s="385">
        <v>40087.708392642358</v>
      </c>
      <c r="P43" s="385">
        <v>10199.528509374772</v>
      </c>
      <c r="Q43" s="386">
        <f>$J43-SUM(K43:P43)-0.02</f>
        <v>932.5399086211587</v>
      </c>
      <c r="R43" s="352"/>
      <c r="S43" s="352"/>
    </row>
    <row r="44" spans="1:19" ht="19.5" customHeight="1">
      <c r="A44" s="253" t="s">
        <v>934</v>
      </c>
      <c r="B44" s="380"/>
      <c r="C44" s="380"/>
      <c r="D44" s="380"/>
      <c r="E44" s="380"/>
      <c r="F44" s="380"/>
      <c r="G44" s="380"/>
      <c r="H44" s="380"/>
      <c r="I44" s="380"/>
      <c r="J44" s="380"/>
      <c r="K44" s="1764"/>
      <c r="L44" s="380"/>
      <c r="M44" s="380"/>
      <c r="N44" s="380"/>
      <c r="O44" s="380"/>
      <c r="P44" s="380"/>
      <c r="Q44" s="252" t="s">
        <v>935</v>
      </c>
    </row>
    <row r="45" spans="1:19" ht="15.95" customHeight="1">
      <c r="A45" s="306" t="s">
        <v>936</v>
      </c>
      <c r="Q45" s="365" t="s">
        <v>937</v>
      </c>
    </row>
    <row r="46" spans="1:19" s="180" customFormat="1" ht="15">
      <c r="A46" s="306" t="s">
        <v>938</v>
      </c>
      <c r="B46" s="306"/>
      <c r="C46" s="306"/>
      <c r="D46" s="306"/>
      <c r="E46" s="306"/>
      <c r="F46" s="306"/>
      <c r="G46" s="306"/>
      <c r="H46" s="306"/>
      <c r="I46" s="306"/>
      <c r="J46" s="276"/>
      <c r="K46" s="276"/>
      <c r="L46" s="276"/>
      <c r="M46" s="276"/>
      <c r="N46" s="276"/>
      <c r="O46" s="276"/>
      <c r="P46" s="276"/>
      <c r="Q46" s="646" t="s">
        <v>939</v>
      </c>
    </row>
    <row r="48" spans="1:19" s="180" customFormat="1" ht="15">
      <c r="A48" s="276" t="s">
        <v>1041</v>
      </c>
      <c r="B48" s="276"/>
      <c r="C48" s="276"/>
      <c r="D48" s="276"/>
      <c r="E48" s="276"/>
      <c r="F48" s="276"/>
      <c r="G48" s="276"/>
      <c r="H48" s="276"/>
      <c r="I48" s="276"/>
      <c r="J48" s="276"/>
      <c r="K48" s="276"/>
      <c r="L48" s="276"/>
      <c r="M48" s="276"/>
      <c r="N48" s="276"/>
      <c r="O48" s="276"/>
      <c r="P48" s="276"/>
      <c r="Q48" s="276"/>
    </row>
    <row r="50" spans="3:17">
      <c r="C50" s="1115"/>
      <c r="D50" s="1115"/>
      <c r="E50" s="1115"/>
      <c r="F50" s="1115"/>
      <c r="G50" s="1115"/>
      <c r="H50" s="1115"/>
      <c r="I50" s="1115"/>
      <c r="J50" s="1115"/>
      <c r="K50" s="1115"/>
      <c r="L50" s="1115"/>
      <c r="M50" s="1115"/>
      <c r="N50" s="1115"/>
      <c r="O50" s="1115"/>
      <c r="P50" s="1115"/>
      <c r="Q50" s="1115"/>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26" activePane="bottomLeft" state="frozen"/>
      <selection activeCell="B12" sqref="B12"/>
      <selection pane="bottomLeft" activeCell="O39" sqref="O39"/>
    </sheetView>
  </sheetViews>
  <sheetFormatPr defaultColWidth="9.140625" defaultRowHeight="12.75"/>
  <cols>
    <col min="1" max="2" width="9.7109375" style="381" customWidth="1"/>
    <col min="3" max="3" width="10.85546875" style="381" customWidth="1"/>
    <col min="4" max="4" width="12.85546875" style="381" customWidth="1"/>
    <col min="5" max="5" width="11.7109375" style="381" customWidth="1"/>
    <col min="6" max="6" width="10.7109375" style="381" customWidth="1"/>
    <col min="7" max="7" width="11.85546875" style="381" customWidth="1"/>
    <col min="8" max="8" width="11.7109375" style="381" customWidth="1"/>
    <col min="9" max="9" width="10.7109375" style="381" customWidth="1"/>
    <col min="10" max="10" width="12.7109375" style="381" customWidth="1"/>
    <col min="11" max="11" width="10.85546875" style="381" customWidth="1"/>
    <col min="12" max="12" width="12.85546875" style="381" customWidth="1"/>
    <col min="13" max="13" width="11.7109375" style="381" customWidth="1"/>
    <col min="14" max="14" width="10.7109375" style="381" customWidth="1"/>
    <col min="15" max="16" width="11.7109375" style="381" customWidth="1"/>
    <col min="17" max="17" width="10.7109375" style="381" customWidth="1"/>
    <col min="18" max="16384" width="9.140625" style="381"/>
  </cols>
  <sheetData>
    <row r="1" spans="1:19" ht="18">
      <c r="A1" s="277" t="s">
        <v>1763</v>
      </c>
      <c r="B1" s="1740"/>
      <c r="C1" s="1740"/>
      <c r="D1" s="1740"/>
      <c r="E1" s="1740"/>
      <c r="F1" s="1740"/>
      <c r="G1" s="1740"/>
      <c r="H1" s="1740"/>
      <c r="I1" s="1740"/>
      <c r="J1" s="1740"/>
      <c r="K1" s="1740"/>
      <c r="L1" s="1740"/>
      <c r="M1" s="1740"/>
      <c r="N1" s="1740"/>
      <c r="O1" s="1740"/>
      <c r="P1" s="1740"/>
      <c r="Q1" s="1740"/>
    </row>
    <row r="2" spans="1:19" ht="18">
      <c r="A2" s="1690" t="s">
        <v>1042</v>
      </c>
      <c r="B2" s="1740"/>
      <c r="C2" s="1740"/>
      <c r="D2" s="1740"/>
      <c r="E2" s="1740"/>
      <c r="F2" s="1740"/>
      <c r="G2" s="1740"/>
      <c r="H2" s="1740"/>
      <c r="I2" s="1740"/>
      <c r="J2" s="1740"/>
      <c r="K2" s="1740"/>
      <c r="L2" s="1740"/>
      <c r="M2" s="1740"/>
      <c r="N2" s="1740"/>
      <c r="O2" s="1740"/>
      <c r="P2" s="1740"/>
      <c r="Q2" s="1740"/>
    </row>
    <row r="3" spans="1:19" ht="18">
      <c r="A3" s="1741" t="s">
        <v>1043</v>
      </c>
      <c r="B3" s="1740"/>
      <c r="C3" s="1740"/>
      <c r="D3" s="1740"/>
      <c r="E3" s="1740"/>
      <c r="F3" s="1740"/>
      <c r="G3" s="1740"/>
      <c r="H3" s="1740"/>
      <c r="I3" s="1740"/>
      <c r="J3" s="1740"/>
      <c r="K3" s="1740"/>
      <c r="L3" s="1740"/>
      <c r="M3" s="1740"/>
      <c r="N3" s="1740"/>
      <c r="O3" s="1740"/>
      <c r="P3" s="1740"/>
      <c r="Q3" s="1740"/>
    </row>
    <row r="4" spans="1:19" s="306" customFormat="1" ht="14.25">
      <c r="A4" s="1763" t="s">
        <v>756</v>
      </c>
      <c r="B4" s="319"/>
      <c r="Q4" s="1446" t="s">
        <v>757</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943</v>
      </c>
      <c r="D9" s="177" t="s">
        <v>944</v>
      </c>
      <c r="E9" s="177" t="s">
        <v>945</v>
      </c>
      <c r="F9" s="162" t="s">
        <v>946</v>
      </c>
      <c r="G9" s="162"/>
      <c r="H9" s="177" t="s">
        <v>947</v>
      </c>
      <c r="I9" s="177"/>
      <c r="J9" s="194"/>
      <c r="K9" s="182" t="s">
        <v>943</v>
      </c>
      <c r="L9" s="177" t="s">
        <v>944</v>
      </c>
      <c r="M9" s="177" t="s">
        <v>945</v>
      </c>
      <c r="N9" s="162" t="s">
        <v>946</v>
      </c>
      <c r="O9" s="162"/>
      <c r="P9" s="177" t="s">
        <v>947</v>
      </c>
      <c r="Q9" s="177"/>
    </row>
    <row r="10" spans="1:19" s="176" customFormat="1" ht="18" customHeight="1">
      <c r="A10" s="163" t="s">
        <v>383</v>
      </c>
      <c r="B10" s="165"/>
      <c r="C10" s="182" t="s">
        <v>948</v>
      </c>
      <c r="D10" s="177" t="s">
        <v>949</v>
      </c>
      <c r="E10" s="177" t="s">
        <v>950</v>
      </c>
      <c r="F10" s="162" t="s">
        <v>951</v>
      </c>
      <c r="G10" s="162" t="s">
        <v>354</v>
      </c>
      <c r="H10" s="177" t="s">
        <v>952</v>
      </c>
      <c r="I10" s="177" t="s">
        <v>396</v>
      </c>
      <c r="J10" s="193" t="s">
        <v>386</v>
      </c>
      <c r="K10" s="182" t="s">
        <v>948</v>
      </c>
      <c r="L10" s="177" t="s">
        <v>949</v>
      </c>
      <c r="M10" s="177" t="s">
        <v>950</v>
      </c>
      <c r="N10" s="162" t="s">
        <v>951</v>
      </c>
      <c r="O10" s="162" t="s">
        <v>354</v>
      </c>
      <c r="P10" s="177" t="s">
        <v>952</v>
      </c>
      <c r="Q10" s="177" t="s">
        <v>396</v>
      </c>
    </row>
    <row r="11" spans="1:19" s="164" customFormat="1" ht="18" customHeight="1">
      <c r="A11" s="178" t="s">
        <v>391</v>
      </c>
      <c r="B11" s="165"/>
      <c r="C11" s="191" t="s">
        <v>953</v>
      </c>
      <c r="D11" s="166" t="s">
        <v>954</v>
      </c>
      <c r="E11" s="166" t="s">
        <v>955</v>
      </c>
      <c r="F11" s="166" t="s">
        <v>956</v>
      </c>
      <c r="G11" s="166" t="s">
        <v>549</v>
      </c>
      <c r="H11" s="166" t="s">
        <v>957</v>
      </c>
      <c r="I11" s="168" t="s">
        <v>404</v>
      </c>
      <c r="J11" s="195" t="s">
        <v>397</v>
      </c>
      <c r="K11" s="191" t="s">
        <v>953</v>
      </c>
      <c r="L11" s="166" t="s">
        <v>954</v>
      </c>
      <c r="M11" s="166" t="s">
        <v>955</v>
      </c>
      <c r="N11" s="166" t="s">
        <v>956</v>
      </c>
      <c r="O11" s="166" t="s">
        <v>549</v>
      </c>
      <c r="P11" s="166" t="s">
        <v>957</v>
      </c>
      <c r="Q11" s="168" t="s">
        <v>404</v>
      </c>
    </row>
    <row r="12" spans="1:19" s="164" customFormat="1" ht="18" customHeight="1">
      <c r="A12" s="179"/>
      <c r="B12" s="170"/>
      <c r="C12" s="192" t="s">
        <v>958</v>
      </c>
      <c r="D12" s="198" t="s">
        <v>959</v>
      </c>
      <c r="E12" s="198" t="s">
        <v>960</v>
      </c>
      <c r="F12" s="198" t="s">
        <v>961</v>
      </c>
      <c r="G12" s="198"/>
      <c r="H12" s="198" t="s">
        <v>962</v>
      </c>
      <c r="I12" s="199"/>
      <c r="J12" s="196"/>
      <c r="K12" s="192" t="s">
        <v>958</v>
      </c>
      <c r="L12" s="198" t="s">
        <v>959</v>
      </c>
      <c r="M12" s="198" t="s">
        <v>960</v>
      </c>
      <c r="N12" s="198" t="s">
        <v>961</v>
      </c>
      <c r="O12" s="198"/>
      <c r="P12" s="198" t="s">
        <v>962</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742">
        <v>8007.5743818072115</v>
      </c>
      <c r="P13" s="386">
        <v>140.212624898153</v>
      </c>
      <c r="Q13" s="1743">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4"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4"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4"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4"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4"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4" customFormat="1" ht="18.75" customHeight="1">
      <c r="A21" s="873">
        <v>2023</v>
      </c>
      <c r="B21" s="874"/>
      <c r="C21" s="385">
        <f t="shared" ref="C21:Q21" si="0">C26</f>
        <v>3606.8226202512965</v>
      </c>
      <c r="D21" s="385">
        <f t="shared" si="0"/>
        <v>8330.5593123661802</v>
      </c>
      <c r="E21" s="386">
        <f t="shared" si="0"/>
        <v>97375.607659822897</v>
      </c>
      <c r="F21" s="386">
        <f t="shared" si="0"/>
        <v>1434.4314884802391</v>
      </c>
      <c r="G21" s="386">
        <f t="shared" si="0"/>
        <v>17285.866552855259</v>
      </c>
      <c r="H21" s="386">
        <f t="shared" si="0"/>
        <v>241.65302010289747</v>
      </c>
      <c r="I21" s="386">
        <f t="shared" si="0"/>
        <v>3176.8059347845938</v>
      </c>
      <c r="J21" s="653">
        <f t="shared" si="0"/>
        <v>131451.75658866338</v>
      </c>
      <c r="K21" s="385">
        <f t="shared" si="0"/>
        <v>1885.5773328841956</v>
      </c>
      <c r="L21" s="385">
        <f t="shared" si="0"/>
        <v>14606.997526544201</v>
      </c>
      <c r="M21" s="386">
        <f t="shared" si="0"/>
        <v>99369.743133570912</v>
      </c>
      <c r="N21" s="386">
        <f t="shared" si="0"/>
        <v>849.71545656641047</v>
      </c>
      <c r="O21" s="386">
        <f t="shared" si="0"/>
        <v>11998.079854149131</v>
      </c>
      <c r="P21" s="386">
        <f t="shared" si="0"/>
        <v>92.223078954754001</v>
      </c>
      <c r="Q21" s="386">
        <f t="shared" si="0"/>
        <v>2649.4763864539864</v>
      </c>
      <c r="R21" s="352"/>
      <c r="S21" s="352"/>
    </row>
    <row r="22" spans="1:21" s="1024" customFormat="1" ht="18.75" customHeight="1">
      <c r="A22" s="1019">
        <v>2024</v>
      </c>
      <c r="B22" s="1020"/>
      <c r="C22" s="1021">
        <f t="shared" ref="C22:Q22" si="1">C30</f>
        <v>2884.7480748278449</v>
      </c>
      <c r="D22" s="1021">
        <f t="shared" si="1"/>
        <v>7555.5940725590335</v>
      </c>
      <c r="E22" s="1325">
        <f t="shared" si="1"/>
        <v>106912.76468402578</v>
      </c>
      <c r="F22" s="1022">
        <f t="shared" si="1"/>
        <v>1919.2866174621922</v>
      </c>
      <c r="G22" s="1022">
        <f t="shared" si="1"/>
        <v>13244.704409527509</v>
      </c>
      <c r="H22" s="1022">
        <f t="shared" si="1"/>
        <v>146.88377747029662</v>
      </c>
      <c r="I22" s="1022">
        <f t="shared" si="1"/>
        <v>4234.143620108237</v>
      </c>
      <c r="J22" s="1023">
        <f t="shared" si="1"/>
        <v>136898.12525598088</v>
      </c>
      <c r="K22" s="1021">
        <f t="shared" si="1"/>
        <v>1705.6887065350084</v>
      </c>
      <c r="L22" s="1021">
        <f t="shared" si="1"/>
        <v>13616.075032143686</v>
      </c>
      <c r="M22" s="1022">
        <f t="shared" si="1"/>
        <v>104149.48140685979</v>
      </c>
      <c r="N22" s="1022">
        <f t="shared" si="1"/>
        <v>1174.2444873361969</v>
      </c>
      <c r="O22" s="1022">
        <f t="shared" si="1"/>
        <v>11357.087518921597</v>
      </c>
      <c r="P22" s="1022">
        <f t="shared" si="1"/>
        <v>75.230935495925991</v>
      </c>
      <c r="Q22" s="1022">
        <f t="shared" si="1"/>
        <v>4820.3349291121303</v>
      </c>
      <c r="R22" s="352"/>
      <c r="S22" s="352"/>
    </row>
    <row r="23" spans="1:21" s="1024" customFormat="1" ht="21" customHeight="1">
      <c r="A23" s="873">
        <v>2023</v>
      </c>
      <c r="B23" s="874" t="s">
        <v>243</v>
      </c>
      <c r="C23" s="385">
        <v>3470.4146201014601</v>
      </c>
      <c r="D23" s="385">
        <v>5356.8825981168102</v>
      </c>
      <c r="E23" s="386">
        <v>86781.1610700811</v>
      </c>
      <c r="F23" s="386">
        <v>1260.1658829947939</v>
      </c>
      <c r="G23" s="386">
        <v>16943.114503024695</v>
      </c>
      <c r="H23" s="386">
        <v>55.316926293806759</v>
      </c>
      <c r="I23" s="386">
        <v>2567.3330513877199</v>
      </c>
      <c r="J23" s="653">
        <v>116434.36865200038</v>
      </c>
      <c r="K23" s="385">
        <v>1416.2401001370263</v>
      </c>
      <c r="L23" s="385">
        <v>10484.093990123429</v>
      </c>
      <c r="M23" s="386">
        <v>90315.791910603846</v>
      </c>
      <c r="N23" s="386">
        <v>812.66924200548488</v>
      </c>
      <c r="O23" s="386">
        <v>10367.3810450736</v>
      </c>
      <c r="P23" s="386">
        <v>6.9451707286950004</v>
      </c>
      <c r="Q23" s="386">
        <v>3031.3376989679546</v>
      </c>
      <c r="R23" s="352"/>
      <c r="S23" s="352"/>
    </row>
    <row r="24" spans="1:21" s="1024" customFormat="1" ht="18" customHeight="1">
      <c r="A24" s="873"/>
      <c r="B24" s="874" t="s">
        <v>244</v>
      </c>
      <c r="C24" s="385">
        <v>3921.488095740483</v>
      </c>
      <c r="D24" s="385">
        <v>6358.7047237419602</v>
      </c>
      <c r="E24" s="386">
        <v>92416.906811880079</v>
      </c>
      <c r="F24" s="386">
        <v>1521.1402110995</v>
      </c>
      <c r="G24" s="386">
        <v>16404.13660603443</v>
      </c>
      <c r="H24" s="386">
        <v>111.559332025236</v>
      </c>
      <c r="I24" s="386">
        <v>3615.1055031657761</v>
      </c>
      <c r="J24" s="653">
        <v>124349.03128368748</v>
      </c>
      <c r="K24" s="385">
        <v>1656.8825965396923</v>
      </c>
      <c r="L24" s="385">
        <v>11387.620153480959</v>
      </c>
      <c r="M24" s="386">
        <v>97156.25500463722</v>
      </c>
      <c r="N24" s="386">
        <v>1039.527032417102</v>
      </c>
      <c r="O24" s="386">
        <v>10383.408646532152</v>
      </c>
      <c r="P24" s="386">
        <v>59.642041650299994</v>
      </c>
      <c r="Q24" s="386">
        <v>2665.6864674633271</v>
      </c>
      <c r="R24" s="352"/>
      <c r="S24" s="352"/>
    </row>
    <row r="25" spans="1:21" s="1024" customFormat="1" ht="18" customHeight="1">
      <c r="A25" s="873"/>
      <c r="B25" s="874" t="s">
        <v>245</v>
      </c>
      <c r="C25" s="385">
        <v>4055.7698709418323</v>
      </c>
      <c r="D25" s="386">
        <v>6282.738331655456</v>
      </c>
      <c r="E25" s="1743">
        <v>94335.278779894492</v>
      </c>
      <c r="F25" s="386">
        <v>1313.2625953188913</v>
      </c>
      <c r="G25" s="386">
        <v>15249.414738743846</v>
      </c>
      <c r="H25" s="386">
        <v>153.78801778184257</v>
      </c>
      <c r="I25" s="386">
        <v>3073.2424921675433</v>
      </c>
      <c r="J25" s="653">
        <v>124463.49482650388</v>
      </c>
      <c r="K25" s="385">
        <v>1627.9116890005821</v>
      </c>
      <c r="L25" s="385">
        <v>12066.902832600203</v>
      </c>
      <c r="M25" s="386">
        <v>96673.821423943315</v>
      </c>
      <c r="N25" s="386">
        <v>794.021595473415</v>
      </c>
      <c r="O25" s="386">
        <v>10745.354380113653</v>
      </c>
      <c r="P25" s="386">
        <v>83.331054648558009</v>
      </c>
      <c r="Q25" s="386">
        <v>2472.242172841643</v>
      </c>
      <c r="R25" s="352"/>
      <c r="S25" s="352"/>
    </row>
    <row r="26" spans="1:21" s="1024" customFormat="1" ht="18" customHeight="1">
      <c r="A26" s="873"/>
      <c r="B26" s="874" t="s">
        <v>242</v>
      </c>
      <c r="C26" s="385">
        <v>3606.8226202512965</v>
      </c>
      <c r="D26" s="385">
        <v>8330.5593123661802</v>
      </c>
      <c r="E26" s="386">
        <v>97375.607659822897</v>
      </c>
      <c r="F26" s="386">
        <v>1434.4314884802391</v>
      </c>
      <c r="G26" s="386">
        <v>17285.866552855259</v>
      </c>
      <c r="H26" s="386">
        <v>241.65302010289747</v>
      </c>
      <c r="I26" s="386">
        <v>3176.8059347845938</v>
      </c>
      <c r="J26" s="653">
        <v>131451.75658866338</v>
      </c>
      <c r="K26" s="385">
        <v>1885.5773328841956</v>
      </c>
      <c r="L26" s="385">
        <v>14606.997526544201</v>
      </c>
      <c r="M26" s="386">
        <v>99369.743133570912</v>
      </c>
      <c r="N26" s="386">
        <v>849.71545656641047</v>
      </c>
      <c r="O26" s="386">
        <v>11998.079854149131</v>
      </c>
      <c r="P26" s="386">
        <v>92.223078954754001</v>
      </c>
      <c r="Q26" s="386">
        <v>2649.4763864539864</v>
      </c>
      <c r="R26" s="352"/>
      <c r="S26" s="352"/>
    </row>
    <row r="27" spans="1:21" s="1024" customFormat="1" ht="21" customHeight="1">
      <c r="A27" s="873">
        <v>2024</v>
      </c>
      <c r="B27" s="874" t="s">
        <v>243</v>
      </c>
      <c r="C27" s="385">
        <f t="shared" ref="C27:Q27" si="2">C34</f>
        <v>3527.5627309490187</v>
      </c>
      <c r="D27" s="385">
        <f t="shared" si="2"/>
        <v>7146.7367374936093</v>
      </c>
      <c r="E27" s="386">
        <f t="shared" si="2"/>
        <v>100165.40882082905</v>
      </c>
      <c r="F27" s="386">
        <f t="shared" si="2"/>
        <v>1407.7559870417811</v>
      </c>
      <c r="G27" s="386">
        <f t="shared" si="2"/>
        <v>16336.671901661633</v>
      </c>
      <c r="H27" s="386">
        <f t="shared" si="2"/>
        <v>180.29293115261402</v>
      </c>
      <c r="I27" s="386">
        <f t="shared" si="2"/>
        <v>3090.0163262999213</v>
      </c>
      <c r="J27" s="653">
        <f t="shared" si="2"/>
        <v>131854.45543542763</v>
      </c>
      <c r="K27" s="385">
        <f t="shared" si="2"/>
        <v>1680.3648180450675</v>
      </c>
      <c r="L27" s="385">
        <f t="shared" si="2"/>
        <v>12989.694381765914</v>
      </c>
      <c r="M27" s="386">
        <f t="shared" si="2"/>
        <v>101038.05801024861</v>
      </c>
      <c r="N27" s="386">
        <f t="shared" si="2"/>
        <v>949.0081848489823</v>
      </c>
      <c r="O27" s="386">
        <f t="shared" si="2"/>
        <v>11835.271781821839</v>
      </c>
      <c r="P27" s="386">
        <f t="shared" si="2"/>
        <v>78.433481582325015</v>
      </c>
      <c r="Q27" s="386">
        <f t="shared" si="2"/>
        <v>3283.6270084509838</v>
      </c>
      <c r="R27" s="352"/>
      <c r="S27" s="352"/>
    </row>
    <row r="28" spans="1:21" s="1024" customFormat="1" ht="18" customHeight="1">
      <c r="A28" s="873"/>
      <c r="B28" s="874" t="s">
        <v>244</v>
      </c>
      <c r="C28" s="385">
        <f t="shared" ref="C28:Q28" si="3">C37</f>
        <v>3164.5057652725532</v>
      </c>
      <c r="D28" s="385">
        <f t="shared" si="3"/>
        <v>8109.5565148288697</v>
      </c>
      <c r="E28" s="386">
        <f t="shared" si="3"/>
        <v>102329.63988883729</v>
      </c>
      <c r="F28" s="386">
        <f t="shared" si="3"/>
        <v>1394.2667480019704</v>
      </c>
      <c r="G28" s="386">
        <f t="shared" si="3"/>
        <v>14715.742602032267</v>
      </c>
      <c r="H28" s="386">
        <f t="shared" si="3"/>
        <v>175.8130686697146</v>
      </c>
      <c r="I28" s="386">
        <f t="shared" si="3"/>
        <v>4191.8812425969891</v>
      </c>
      <c r="J28" s="653">
        <f t="shared" si="3"/>
        <v>134081.43583023964</v>
      </c>
      <c r="K28" s="385">
        <f t="shared" si="3"/>
        <v>1665.097255378686</v>
      </c>
      <c r="L28" s="385">
        <f t="shared" si="3"/>
        <v>14052.461741558587</v>
      </c>
      <c r="M28" s="386">
        <f t="shared" si="3"/>
        <v>100720.43420969658</v>
      </c>
      <c r="N28" s="386">
        <f t="shared" si="3"/>
        <v>861.06449437504068</v>
      </c>
      <c r="O28" s="386">
        <f t="shared" si="3"/>
        <v>12086.263485820671</v>
      </c>
      <c r="P28" s="386">
        <f t="shared" si="3"/>
        <v>75.104334339689018</v>
      </c>
      <c r="Q28" s="386">
        <f t="shared" si="3"/>
        <v>4620.8842542700659</v>
      </c>
      <c r="R28" s="352"/>
      <c r="S28" s="352"/>
    </row>
    <row r="29" spans="1:21" s="1024" customFormat="1" ht="18" customHeight="1">
      <c r="A29" s="873"/>
      <c r="B29" s="874" t="s">
        <v>245</v>
      </c>
      <c r="C29" s="385">
        <f t="shared" ref="C29:Q29" si="4">C40</f>
        <v>3473.1929064668948</v>
      </c>
      <c r="D29" s="385">
        <f t="shared" si="4"/>
        <v>7960.1859067998575</v>
      </c>
      <c r="E29" s="386">
        <f t="shared" si="4"/>
        <v>106637.91374154188</v>
      </c>
      <c r="F29" s="386">
        <f t="shared" si="4"/>
        <v>1553.8832035952694</v>
      </c>
      <c r="G29" s="386">
        <f t="shared" si="4"/>
        <v>15445.989797481601</v>
      </c>
      <c r="H29" s="386">
        <f t="shared" si="4"/>
        <v>160.45555923405672</v>
      </c>
      <c r="I29" s="386">
        <f t="shared" si="4"/>
        <v>4039.0491074279557</v>
      </c>
      <c r="J29" s="653">
        <f t="shared" si="4"/>
        <v>139270.67022254752</v>
      </c>
      <c r="K29" s="385">
        <f t="shared" si="4"/>
        <v>1562.0492951033966</v>
      </c>
      <c r="L29" s="385">
        <f t="shared" si="4"/>
        <v>13732.273228929542</v>
      </c>
      <c r="M29" s="386">
        <f t="shared" si="4"/>
        <v>106172.44177421909</v>
      </c>
      <c r="N29" s="386">
        <f t="shared" si="4"/>
        <v>960.29560277920689</v>
      </c>
      <c r="O29" s="386">
        <f t="shared" si="4"/>
        <v>12448.737715169596</v>
      </c>
      <c r="P29" s="386">
        <f t="shared" si="4"/>
        <v>74.14087668555301</v>
      </c>
      <c r="Q29" s="386">
        <f t="shared" si="4"/>
        <v>4320.855690903124</v>
      </c>
      <c r="R29" s="352"/>
      <c r="S29" s="352"/>
    </row>
    <row r="30" spans="1:21" s="1024" customFormat="1" ht="18" customHeight="1">
      <c r="A30" s="1019"/>
      <c r="B30" s="1020" t="s">
        <v>242</v>
      </c>
      <c r="C30" s="1021">
        <f t="shared" ref="C30:Q30" si="5">C43</f>
        <v>2884.7480748278449</v>
      </c>
      <c r="D30" s="1021">
        <f t="shared" si="5"/>
        <v>7555.5940725590335</v>
      </c>
      <c r="E30" s="1022">
        <f t="shared" si="5"/>
        <v>106912.76468402578</v>
      </c>
      <c r="F30" s="1022">
        <f t="shared" si="5"/>
        <v>1919.2866174621922</v>
      </c>
      <c r="G30" s="1022">
        <f t="shared" si="5"/>
        <v>13244.704409527509</v>
      </c>
      <c r="H30" s="1022">
        <f t="shared" si="5"/>
        <v>146.88377747029662</v>
      </c>
      <c r="I30" s="1022">
        <f t="shared" si="5"/>
        <v>4234.143620108237</v>
      </c>
      <c r="J30" s="1023">
        <f t="shared" si="5"/>
        <v>136898.12525598088</v>
      </c>
      <c r="K30" s="1021">
        <f t="shared" si="5"/>
        <v>1705.6887065350084</v>
      </c>
      <c r="L30" s="1021">
        <f t="shared" si="5"/>
        <v>13616.075032143686</v>
      </c>
      <c r="M30" s="1022">
        <f t="shared" si="5"/>
        <v>104149.48140685979</v>
      </c>
      <c r="N30" s="1022">
        <f t="shared" si="5"/>
        <v>1174.2444873361969</v>
      </c>
      <c r="O30" s="1022">
        <f t="shared" si="5"/>
        <v>11357.087518921597</v>
      </c>
      <c r="P30" s="1022">
        <f t="shared" si="5"/>
        <v>75.230935495925991</v>
      </c>
      <c r="Q30" s="1022">
        <f t="shared" si="5"/>
        <v>4820.3349291121303</v>
      </c>
      <c r="R30" s="352"/>
      <c r="S30" s="352"/>
    </row>
    <row r="31" spans="1:21" s="616" customFormat="1" ht="21" customHeight="1">
      <c r="A31" s="873">
        <v>2023</v>
      </c>
      <c r="B31" s="874" t="s">
        <v>426</v>
      </c>
      <c r="C31" s="385">
        <v>3606.8226202512965</v>
      </c>
      <c r="D31" s="385">
        <v>8330.5593123661802</v>
      </c>
      <c r="E31" s="386">
        <v>97375.607659822897</v>
      </c>
      <c r="F31" s="386">
        <v>1434.4314884802391</v>
      </c>
      <c r="G31" s="386">
        <v>17285.866552855259</v>
      </c>
      <c r="H31" s="386">
        <v>241.65302010289747</v>
      </c>
      <c r="I31" s="386">
        <v>3176.8059347845938</v>
      </c>
      <c r="J31" s="653">
        <v>131451.75658866338</v>
      </c>
      <c r="K31" s="385">
        <v>1885.5773328841956</v>
      </c>
      <c r="L31" s="385">
        <v>14606.997526544201</v>
      </c>
      <c r="M31" s="386">
        <v>99369.743133570912</v>
      </c>
      <c r="N31" s="386">
        <v>849.71545656641047</v>
      </c>
      <c r="O31" s="386">
        <v>11998.079854149131</v>
      </c>
      <c r="P31" s="386">
        <v>92.223078954754001</v>
      </c>
      <c r="Q31" s="386">
        <v>2649.4763864539864</v>
      </c>
      <c r="R31" s="352"/>
      <c r="S31" s="352"/>
      <c r="T31" s="180"/>
      <c r="U31" s="180"/>
    </row>
    <row r="32" spans="1:21" s="616" customFormat="1" ht="21" customHeight="1">
      <c r="A32" s="873">
        <v>2024</v>
      </c>
      <c r="B32" s="874" t="s">
        <v>427</v>
      </c>
      <c r="C32" s="385">
        <v>4062.6311965114182</v>
      </c>
      <c r="D32" s="385">
        <v>7253.7705018263287</v>
      </c>
      <c r="E32" s="386">
        <v>97209.276525587251</v>
      </c>
      <c r="F32" s="386">
        <v>1465.0218218786383</v>
      </c>
      <c r="G32" s="386">
        <v>16274.896597023533</v>
      </c>
      <c r="H32" s="386">
        <v>173.05343930959668</v>
      </c>
      <c r="I32" s="386">
        <v>3104.2938530878614</v>
      </c>
      <c r="J32" s="653">
        <v>129542.96393522463</v>
      </c>
      <c r="K32" s="385">
        <v>1813.2892312967049</v>
      </c>
      <c r="L32" s="385">
        <v>13527.810673373659</v>
      </c>
      <c r="M32" s="386">
        <v>97803.542204607642</v>
      </c>
      <c r="N32" s="386">
        <v>897.65170625153371</v>
      </c>
      <c r="O32" s="386">
        <v>11865.655691181732</v>
      </c>
      <c r="P32" s="386">
        <v>88.115606593252991</v>
      </c>
      <c r="Q32" s="386">
        <v>3546.8851201576431</v>
      </c>
      <c r="R32" s="352"/>
      <c r="S32" s="352"/>
      <c r="T32" s="180"/>
      <c r="U32" s="180"/>
    </row>
    <row r="33" spans="1:21" s="616" customFormat="1" ht="18" customHeight="1">
      <c r="A33" s="873"/>
      <c r="B33" s="874" t="s">
        <v>416</v>
      </c>
      <c r="C33" s="385">
        <v>4051.6579862684293</v>
      </c>
      <c r="D33" s="385">
        <v>6996.9203818130463</v>
      </c>
      <c r="E33" s="386">
        <v>95757.163675274438</v>
      </c>
      <c r="F33" s="386">
        <v>1484.3055771748257</v>
      </c>
      <c r="G33" s="386">
        <v>16741.660539595108</v>
      </c>
      <c r="H33" s="386">
        <v>170.23569654953781</v>
      </c>
      <c r="I33" s="386">
        <v>3428.5118597222631</v>
      </c>
      <c r="J33" s="653">
        <v>128630.45571639763</v>
      </c>
      <c r="K33" s="385">
        <v>1782.7018501034233</v>
      </c>
      <c r="L33" s="385">
        <v>13390.048071644802</v>
      </c>
      <c r="M33" s="386">
        <v>96904.707330546342</v>
      </c>
      <c r="N33" s="386">
        <v>981.45111537118748</v>
      </c>
      <c r="O33" s="386">
        <v>11976.576898253819</v>
      </c>
      <c r="P33" s="386">
        <v>81.283359876191</v>
      </c>
      <c r="Q33" s="386">
        <v>3513.7245636157322</v>
      </c>
      <c r="R33" s="352"/>
      <c r="S33" s="352"/>
      <c r="T33" s="180"/>
      <c r="U33" s="180"/>
    </row>
    <row r="34" spans="1:21" s="616" customFormat="1" ht="18" customHeight="1">
      <c r="A34" s="873"/>
      <c r="B34" s="874" t="s">
        <v>417</v>
      </c>
      <c r="C34" s="385">
        <v>3527.5627309490187</v>
      </c>
      <c r="D34" s="385">
        <v>7146.7367374936093</v>
      </c>
      <c r="E34" s="386">
        <v>100165.40882082905</v>
      </c>
      <c r="F34" s="386">
        <v>1407.7559870417811</v>
      </c>
      <c r="G34" s="386">
        <v>16336.671901661633</v>
      </c>
      <c r="H34" s="386">
        <v>180.29293115261402</v>
      </c>
      <c r="I34" s="386">
        <v>3090.0163262999213</v>
      </c>
      <c r="J34" s="653">
        <v>131854.45543542763</v>
      </c>
      <c r="K34" s="385">
        <v>1680.3648180450675</v>
      </c>
      <c r="L34" s="385">
        <v>12989.694381765914</v>
      </c>
      <c r="M34" s="386">
        <v>101038.05801024861</v>
      </c>
      <c r="N34" s="386">
        <v>949.0081848489823</v>
      </c>
      <c r="O34" s="386">
        <v>11835.271781821839</v>
      </c>
      <c r="P34" s="386">
        <v>78.433481582325015</v>
      </c>
      <c r="Q34" s="386">
        <v>3283.6270084509838</v>
      </c>
      <c r="R34" s="352"/>
      <c r="S34" s="352"/>
      <c r="T34" s="180"/>
      <c r="U34" s="180"/>
    </row>
    <row r="35" spans="1:21" s="616" customFormat="1" ht="18" customHeight="1">
      <c r="A35" s="873"/>
      <c r="B35" s="874" t="s">
        <v>418</v>
      </c>
      <c r="C35" s="385">
        <v>3618.3758838075955</v>
      </c>
      <c r="D35" s="385">
        <v>7091.1041660097171</v>
      </c>
      <c r="E35" s="386">
        <v>98817.165906019727</v>
      </c>
      <c r="F35" s="386">
        <v>1449.4635906786291</v>
      </c>
      <c r="G35" s="386">
        <v>16348.771196440113</v>
      </c>
      <c r="H35" s="386">
        <v>176.64001914745526</v>
      </c>
      <c r="I35" s="386">
        <v>3163.8177285671536</v>
      </c>
      <c r="J35" s="653">
        <v>130665.35849067041</v>
      </c>
      <c r="K35" s="385">
        <v>1654.1282205132025</v>
      </c>
      <c r="L35" s="385">
        <v>13430.208984836012</v>
      </c>
      <c r="M35" s="386">
        <v>98939.378544407562</v>
      </c>
      <c r="N35" s="386">
        <v>1041.0611069681995</v>
      </c>
      <c r="O35" s="386">
        <v>11990.259262139312</v>
      </c>
      <c r="P35" s="386">
        <v>75.685875535714004</v>
      </c>
      <c r="Q35" s="386">
        <v>3534.5978393560422</v>
      </c>
      <c r="R35" s="352"/>
      <c r="S35" s="352"/>
      <c r="T35" s="180"/>
      <c r="U35" s="180"/>
    </row>
    <row r="36" spans="1:21" s="616" customFormat="1" ht="18" customHeight="1">
      <c r="A36" s="873"/>
      <c r="B36" s="874" t="s">
        <v>419</v>
      </c>
      <c r="C36" s="385">
        <v>3390.3036512195367</v>
      </c>
      <c r="D36" s="385">
        <v>7171.7206985091661</v>
      </c>
      <c r="E36" s="386">
        <v>100005.6915666319</v>
      </c>
      <c r="F36" s="386">
        <v>1486.4876998307373</v>
      </c>
      <c r="G36" s="386">
        <v>15897.078531579755</v>
      </c>
      <c r="H36" s="386">
        <v>184.12776929316323</v>
      </c>
      <c r="I36" s="386">
        <v>5993.3027074863057</v>
      </c>
      <c r="J36" s="653">
        <v>134128.71262455059</v>
      </c>
      <c r="K36" s="385">
        <v>1526.8129100907461</v>
      </c>
      <c r="L36" s="385">
        <v>13747.933123218252</v>
      </c>
      <c r="M36" s="386">
        <v>99049.119768438162</v>
      </c>
      <c r="N36" s="386">
        <v>919.37070423722548</v>
      </c>
      <c r="O36" s="386">
        <v>12439.280526401102</v>
      </c>
      <c r="P36" s="386">
        <v>75.464355344634001</v>
      </c>
      <c r="Q36" s="386">
        <v>6370.714684305136</v>
      </c>
      <c r="R36" s="352"/>
      <c r="S36" s="352"/>
      <c r="T36" s="180"/>
      <c r="U36" s="180"/>
    </row>
    <row r="37" spans="1:21" s="616" customFormat="1" ht="18" customHeight="1">
      <c r="A37" s="873"/>
      <c r="B37" s="874" t="s">
        <v>420</v>
      </c>
      <c r="C37" s="385">
        <v>3164.5057652725532</v>
      </c>
      <c r="D37" s="385">
        <v>8109.5565148288697</v>
      </c>
      <c r="E37" s="386">
        <v>102329.63988883729</v>
      </c>
      <c r="F37" s="386">
        <v>1394.2667480019704</v>
      </c>
      <c r="G37" s="386">
        <v>14715.742602032267</v>
      </c>
      <c r="H37" s="386">
        <v>175.8130686697146</v>
      </c>
      <c r="I37" s="386">
        <v>4191.8812425969891</v>
      </c>
      <c r="J37" s="653">
        <v>134081.43583023964</v>
      </c>
      <c r="K37" s="385">
        <v>1665.097255378686</v>
      </c>
      <c r="L37" s="385">
        <v>14052.461741558587</v>
      </c>
      <c r="M37" s="386">
        <v>100720.43420969658</v>
      </c>
      <c r="N37" s="386">
        <v>861.06449437504068</v>
      </c>
      <c r="O37" s="386">
        <v>12086.263485820671</v>
      </c>
      <c r="P37" s="386">
        <v>75.104334339689018</v>
      </c>
      <c r="Q37" s="386">
        <v>4620.8842542700659</v>
      </c>
      <c r="R37" s="352"/>
      <c r="S37" s="352"/>
      <c r="T37" s="180"/>
      <c r="U37" s="180"/>
    </row>
    <row r="38" spans="1:21" s="616" customFormat="1" ht="18" customHeight="1">
      <c r="A38" s="873"/>
      <c r="B38" s="874" t="s">
        <v>421</v>
      </c>
      <c r="C38" s="385">
        <v>3521.6133056392773</v>
      </c>
      <c r="D38" s="385">
        <v>7910.8462195139145</v>
      </c>
      <c r="E38" s="386">
        <v>101139.10057184489</v>
      </c>
      <c r="F38" s="386">
        <v>1503.9780587472005</v>
      </c>
      <c r="G38" s="386">
        <v>17335.162809960977</v>
      </c>
      <c r="H38" s="386">
        <v>159.55159210917793</v>
      </c>
      <c r="I38" s="386">
        <v>4495.114986967832</v>
      </c>
      <c r="J38" s="653">
        <v>136065.36754478325</v>
      </c>
      <c r="K38" s="385">
        <v>1602.7607022132245</v>
      </c>
      <c r="L38" s="385">
        <v>14109.28463373408</v>
      </c>
      <c r="M38" s="386">
        <v>102741.73676814868</v>
      </c>
      <c r="N38" s="386">
        <v>965.67944998376845</v>
      </c>
      <c r="O38" s="386">
        <v>12105.675248841257</v>
      </c>
      <c r="P38" s="386">
        <v>66.534271268075003</v>
      </c>
      <c r="Q38" s="386">
        <v>4473.7249992510169</v>
      </c>
      <c r="R38" s="352"/>
      <c r="S38" s="352"/>
      <c r="T38" s="180"/>
      <c r="U38" s="180"/>
    </row>
    <row r="39" spans="1:21" s="616" customFormat="1" ht="18" customHeight="1">
      <c r="A39" s="873"/>
      <c r="B39" s="874" t="s">
        <v>422</v>
      </c>
      <c r="C39" s="385">
        <v>3534.8750674016283</v>
      </c>
      <c r="D39" s="385">
        <v>8129.6973735818638</v>
      </c>
      <c r="E39" s="386">
        <v>99905.774410746875</v>
      </c>
      <c r="F39" s="386">
        <v>1477.8132957363666</v>
      </c>
      <c r="G39" s="386">
        <v>15283.063456111118</v>
      </c>
      <c r="H39" s="386">
        <v>172.59616703029786</v>
      </c>
      <c r="I39" s="386">
        <v>3916.423422589583</v>
      </c>
      <c r="J39" s="653">
        <v>132420.26319319769</v>
      </c>
      <c r="K39" s="385">
        <v>1551.1379860902248</v>
      </c>
      <c r="L39" s="385">
        <v>13934.783790985584</v>
      </c>
      <c r="M39" s="386">
        <v>99427.459278579408</v>
      </c>
      <c r="N39" s="386">
        <v>879.95937215298909</v>
      </c>
      <c r="O39" s="386">
        <v>12301.707135536788</v>
      </c>
      <c r="P39" s="386">
        <v>73.430535999468006</v>
      </c>
      <c r="Q39" s="386">
        <v>4251.8281899872854</v>
      </c>
      <c r="R39" s="352"/>
      <c r="S39" s="352"/>
      <c r="T39" s="180"/>
      <c r="U39" s="180"/>
    </row>
    <row r="40" spans="1:21" s="616" customFormat="1" ht="18" customHeight="1">
      <c r="A40" s="873"/>
      <c r="B40" s="874" t="s">
        <v>423</v>
      </c>
      <c r="C40" s="385">
        <v>3473.1929064668948</v>
      </c>
      <c r="D40" s="385">
        <v>7960.1859067998575</v>
      </c>
      <c r="E40" s="386">
        <v>106637.91374154188</v>
      </c>
      <c r="F40" s="386">
        <v>1553.8832035952694</v>
      </c>
      <c r="G40" s="386">
        <v>15445.989797481601</v>
      </c>
      <c r="H40" s="386">
        <v>160.45555923405672</v>
      </c>
      <c r="I40" s="386">
        <v>4039.0491074279557</v>
      </c>
      <c r="J40" s="653">
        <v>139270.67022254752</v>
      </c>
      <c r="K40" s="385">
        <v>1562.0492951033966</v>
      </c>
      <c r="L40" s="385">
        <v>13732.273228929542</v>
      </c>
      <c r="M40" s="386">
        <v>106172.44177421909</v>
      </c>
      <c r="N40" s="386">
        <v>960.29560277920689</v>
      </c>
      <c r="O40" s="386">
        <v>12448.737715169596</v>
      </c>
      <c r="P40" s="386">
        <v>74.14087668555301</v>
      </c>
      <c r="Q40" s="386">
        <v>4320.855690903124</v>
      </c>
      <c r="R40" s="352"/>
      <c r="S40" s="352"/>
      <c r="T40" s="180"/>
      <c r="U40" s="180"/>
    </row>
    <row r="41" spans="1:21" s="616" customFormat="1" ht="18" customHeight="1">
      <c r="A41" s="873"/>
      <c r="B41" s="874" t="s">
        <v>424</v>
      </c>
      <c r="C41" s="385">
        <v>2674.5846190035959</v>
      </c>
      <c r="D41" s="385">
        <v>7836.29540778502</v>
      </c>
      <c r="E41" s="386">
        <v>106067.03696184282</v>
      </c>
      <c r="F41" s="386">
        <v>1415.208366458241</v>
      </c>
      <c r="G41" s="386">
        <v>15126.456692939177</v>
      </c>
      <c r="H41" s="386">
        <v>147.90871403546063</v>
      </c>
      <c r="I41" s="386">
        <v>5582.462055424854</v>
      </c>
      <c r="J41" s="653">
        <v>138849.95281748916</v>
      </c>
      <c r="K41" s="385">
        <v>1629.6017826012139</v>
      </c>
      <c r="L41" s="385">
        <v>14815.415549590865</v>
      </c>
      <c r="M41" s="386">
        <v>103820.27683401789</v>
      </c>
      <c r="N41" s="386">
        <v>784.17564257813206</v>
      </c>
      <c r="O41" s="386">
        <v>12122.603855322845</v>
      </c>
      <c r="P41" s="386">
        <v>71.038957347404022</v>
      </c>
      <c r="Q41" s="386">
        <v>5606.8598563786754</v>
      </c>
      <c r="R41" s="352"/>
      <c r="S41" s="352"/>
      <c r="T41" s="180"/>
      <c r="U41" s="180"/>
    </row>
    <row r="42" spans="1:21" s="616" customFormat="1" ht="18" customHeight="1">
      <c r="A42" s="873"/>
      <c r="B42" s="874" t="s">
        <v>425</v>
      </c>
      <c r="C42" s="385">
        <v>3188.0074966203829</v>
      </c>
      <c r="D42" s="385">
        <v>8509.7815985971974</v>
      </c>
      <c r="E42" s="386">
        <v>101774.52186761198</v>
      </c>
      <c r="F42" s="386">
        <v>1724.2597982997506</v>
      </c>
      <c r="G42" s="386">
        <v>14408.65877109035</v>
      </c>
      <c r="H42" s="386">
        <v>152.29309520556336</v>
      </c>
      <c r="I42" s="386">
        <v>5592.3850385242267</v>
      </c>
      <c r="J42" s="653">
        <v>135349.96766594949</v>
      </c>
      <c r="K42" s="385">
        <v>1574.1794322679505</v>
      </c>
      <c r="L42" s="385">
        <v>14474.676421299015</v>
      </c>
      <c r="M42" s="386">
        <v>101340.01250614706</v>
      </c>
      <c r="N42" s="386">
        <v>1027.3154736208094</v>
      </c>
      <c r="O42" s="386">
        <v>11654.096415263184</v>
      </c>
      <c r="P42" s="386">
        <v>72.318958626178983</v>
      </c>
      <c r="Q42" s="386">
        <v>5207.4322636908682</v>
      </c>
      <c r="R42" s="352"/>
      <c r="S42" s="352"/>
      <c r="T42" s="180"/>
      <c r="U42" s="180"/>
    </row>
    <row r="43" spans="1:21" s="616" customFormat="1" ht="18" customHeight="1">
      <c r="A43" s="873"/>
      <c r="B43" s="874" t="s">
        <v>426</v>
      </c>
      <c r="C43" s="385">
        <v>2884.7480748278449</v>
      </c>
      <c r="D43" s="385">
        <v>7555.5940725590335</v>
      </c>
      <c r="E43" s="386">
        <v>106912.76468402578</v>
      </c>
      <c r="F43" s="386">
        <v>1919.2866174621922</v>
      </c>
      <c r="G43" s="386">
        <v>13244.704409527509</v>
      </c>
      <c r="H43" s="386">
        <v>146.88377747029662</v>
      </c>
      <c r="I43" s="386">
        <v>4234.143620108237</v>
      </c>
      <c r="J43" s="653">
        <v>136898.12525598088</v>
      </c>
      <c r="K43" s="385">
        <v>1705.6887065350084</v>
      </c>
      <c r="L43" s="385">
        <v>13616.075032143686</v>
      </c>
      <c r="M43" s="386">
        <v>104149.48140685979</v>
      </c>
      <c r="N43" s="386">
        <v>1174.2444873361969</v>
      </c>
      <c r="O43" s="386">
        <v>11357.087518921597</v>
      </c>
      <c r="P43" s="386">
        <v>75.230935495925991</v>
      </c>
      <c r="Q43" s="386">
        <v>4820.3349291121303</v>
      </c>
      <c r="R43" s="352"/>
      <c r="S43" s="352"/>
      <c r="T43" s="180"/>
      <c r="U43" s="180"/>
    </row>
    <row r="44" spans="1:21" ht="20.25" customHeight="1">
      <c r="A44" s="253" t="s">
        <v>934</v>
      </c>
      <c r="B44" s="380"/>
      <c r="C44" s="380"/>
      <c r="D44" s="380"/>
      <c r="E44" s="380"/>
      <c r="F44" s="380"/>
      <c r="G44" s="380"/>
      <c r="H44" s="380"/>
      <c r="I44" s="380"/>
      <c r="J44" s="380"/>
      <c r="K44" s="1764"/>
      <c r="L44" s="380"/>
      <c r="M44" s="380"/>
      <c r="N44" s="380"/>
      <c r="O44" s="380"/>
      <c r="P44" s="380"/>
      <c r="Q44" s="587" t="s">
        <v>935</v>
      </c>
    </row>
    <row r="45" spans="1:21" ht="20.25" customHeight="1">
      <c r="A45" s="306"/>
      <c r="Q45" s="365"/>
    </row>
    <row r="46" spans="1:21" ht="20.25" customHeight="1">
      <c r="A46" s="306"/>
      <c r="Q46" s="365"/>
    </row>
    <row r="47" spans="1:21" s="180" customFormat="1" ht="15">
      <c r="A47" s="276" t="s">
        <v>1044</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34" activePane="bottomLeft" state="frozen"/>
      <selection activeCell="B12" sqref="B12"/>
      <selection pane="bottomLeft" activeCell="N36" sqref="N36"/>
    </sheetView>
  </sheetViews>
  <sheetFormatPr defaultRowHeight="12.75"/>
  <cols>
    <col min="1" max="2" width="9.7109375" style="25" customWidth="1"/>
    <col min="3" max="3" width="9.28515625" style="25" customWidth="1"/>
    <col min="4" max="4" width="12.7109375" style="25" customWidth="1"/>
    <col min="5" max="5" width="14.7109375" style="25" customWidth="1"/>
    <col min="6" max="6" width="12" style="25" customWidth="1"/>
    <col min="7" max="7" width="11.85546875" style="25" customWidth="1"/>
    <col min="8" max="8" width="12.28515625" style="25" customWidth="1"/>
    <col min="9" max="9" width="12.7109375" style="25" customWidth="1"/>
    <col min="10" max="10" width="14.7109375" style="25" customWidth="1"/>
    <col min="11" max="11" width="11.7109375" style="25" customWidth="1"/>
    <col min="12" max="12" width="13.28515625" style="25" customWidth="1"/>
    <col min="13" max="13" width="11" style="25" customWidth="1"/>
    <col min="14" max="14" width="11.28515625" style="25" customWidth="1"/>
    <col min="15" max="15" width="11.85546875" style="25" customWidth="1"/>
    <col min="16" max="16" width="10.7109375" style="25" customWidth="1"/>
    <col min="17" max="16384" width="9.140625" style="25"/>
  </cols>
  <sheetData>
    <row r="1" spans="1:19" s="8" customFormat="1" ht="18" customHeight="1">
      <c r="A1" s="1747" t="s">
        <v>1762</v>
      </c>
      <c r="B1" s="1746"/>
      <c r="C1" s="1746"/>
      <c r="D1" s="1746"/>
      <c r="E1" s="1746"/>
      <c r="F1" s="1746"/>
      <c r="G1" s="1746"/>
      <c r="H1" s="1746"/>
      <c r="I1" s="1746"/>
      <c r="J1" s="1746"/>
      <c r="K1" s="1746"/>
      <c r="L1" s="1746"/>
      <c r="M1" s="1746"/>
      <c r="N1" s="1746"/>
      <c r="O1" s="1746"/>
      <c r="P1" s="1746"/>
    </row>
    <row r="2" spans="1:19" s="8" customFormat="1" ht="18" customHeight="1">
      <c r="A2" s="1745" t="s">
        <v>1045</v>
      </c>
      <c r="B2" s="1746"/>
      <c r="C2" s="1746"/>
      <c r="D2" s="1746"/>
      <c r="E2" s="1746"/>
      <c r="F2" s="1746"/>
      <c r="G2" s="1746"/>
      <c r="H2" s="1746"/>
      <c r="I2" s="1746"/>
      <c r="J2" s="1746"/>
      <c r="K2" s="1746"/>
      <c r="L2" s="1746"/>
      <c r="M2" s="1746"/>
      <c r="N2" s="1746"/>
      <c r="O2" s="1746"/>
      <c r="P2" s="1746"/>
    </row>
    <row r="3" spans="1:19" s="8" customFormat="1" ht="18" customHeight="1">
      <c r="A3" s="1747" t="s">
        <v>1046</v>
      </c>
      <c r="B3" s="1746"/>
      <c r="C3" s="1746"/>
      <c r="D3" s="1746"/>
      <c r="E3" s="1746"/>
      <c r="F3" s="1746"/>
      <c r="G3" s="1746"/>
      <c r="H3" s="1746"/>
      <c r="I3" s="1746"/>
      <c r="J3" s="1746"/>
      <c r="K3" s="1746"/>
      <c r="L3" s="1746"/>
      <c r="M3" s="1746"/>
      <c r="N3" s="1746"/>
      <c r="O3" s="1746"/>
      <c r="P3" s="1746"/>
    </row>
    <row r="4" spans="1:19" s="8" customFormat="1" ht="18" customHeight="1">
      <c r="A4" s="1747" t="s">
        <v>376</v>
      </c>
      <c r="B4" s="1746"/>
      <c r="C4" s="1746"/>
      <c r="D4" s="1746"/>
      <c r="E4" s="1746"/>
      <c r="F4" s="1746"/>
      <c r="G4" s="1746"/>
      <c r="H4" s="1746"/>
      <c r="I4" s="1746"/>
      <c r="J4" s="1746"/>
      <c r="K4" s="1746"/>
      <c r="L4" s="1746"/>
      <c r="M4" s="1746"/>
      <c r="N4" s="1746"/>
      <c r="O4" s="1746"/>
      <c r="P4" s="1746"/>
    </row>
    <row r="5" spans="1:19" ht="20.25" customHeight="1">
      <c r="A5" s="16" t="s">
        <v>375</v>
      </c>
      <c r="B5" s="4"/>
      <c r="C5" s="3"/>
      <c r="D5" s="3"/>
      <c r="E5" s="3"/>
      <c r="F5" s="3"/>
      <c r="G5" s="3"/>
      <c r="H5" s="3"/>
      <c r="I5" s="3"/>
      <c r="J5" s="3"/>
      <c r="K5" s="3"/>
      <c r="L5" s="3"/>
      <c r="M5" s="3"/>
      <c r="N5" s="3"/>
      <c r="O5" s="3"/>
      <c r="P5" s="3"/>
    </row>
    <row r="6" spans="1:19" ht="13.7" customHeight="1">
      <c r="A6" s="8" t="s">
        <v>756</v>
      </c>
      <c r="O6" s="8"/>
      <c r="P6" s="8" t="s">
        <v>757</v>
      </c>
    </row>
    <row r="7" spans="1:19" s="41" customFormat="1" ht="23.25" customHeight="1">
      <c r="A7" s="44"/>
      <c r="B7" s="45"/>
      <c r="C7" s="1758" t="s">
        <v>497</v>
      </c>
      <c r="D7" s="40"/>
      <c r="E7" s="123"/>
      <c r="F7" s="123"/>
      <c r="G7" s="1759"/>
      <c r="H7" s="1760" t="s">
        <v>990</v>
      </c>
      <c r="I7" s="1761" t="s">
        <v>991</v>
      </c>
      <c r="J7" s="40"/>
      <c r="K7" s="123"/>
      <c r="L7" s="123"/>
      <c r="M7" s="1759"/>
      <c r="N7" s="1762" t="s">
        <v>992</v>
      </c>
      <c r="O7" s="1751"/>
      <c r="P7" s="1751"/>
    </row>
    <row r="8" spans="1:19" s="39" customFormat="1" ht="16.5" customHeight="1">
      <c r="A8" s="370" t="s">
        <v>383</v>
      </c>
      <c r="B8" s="81"/>
      <c r="D8" s="270" t="s">
        <v>993</v>
      </c>
      <c r="E8" s="270" t="s">
        <v>993</v>
      </c>
      <c r="F8" s="270" t="s">
        <v>993</v>
      </c>
      <c r="H8" s="270"/>
      <c r="I8" s="270" t="s">
        <v>993</v>
      </c>
      <c r="J8" s="270" t="s">
        <v>993</v>
      </c>
      <c r="K8" s="371"/>
      <c r="L8" s="372" t="s">
        <v>994</v>
      </c>
      <c r="N8" s="371"/>
      <c r="O8" s="270" t="s">
        <v>434</v>
      </c>
      <c r="P8" s="270" t="s">
        <v>995</v>
      </c>
    </row>
    <row r="9" spans="1:19" s="39" customFormat="1" ht="16.5" customHeight="1">
      <c r="A9" s="62" t="s">
        <v>391</v>
      </c>
      <c r="B9" s="74"/>
      <c r="C9" s="270" t="s">
        <v>775</v>
      </c>
      <c r="D9" s="79" t="s">
        <v>436</v>
      </c>
      <c r="E9" s="271" t="s">
        <v>815</v>
      </c>
      <c r="F9" s="95" t="s">
        <v>395</v>
      </c>
      <c r="G9" s="270" t="s">
        <v>396</v>
      </c>
      <c r="H9" s="270" t="s">
        <v>386</v>
      </c>
      <c r="I9" s="79" t="s">
        <v>436</v>
      </c>
      <c r="J9" s="271" t="s">
        <v>815</v>
      </c>
      <c r="K9" s="270" t="s">
        <v>781</v>
      </c>
      <c r="L9" s="372" t="s">
        <v>996</v>
      </c>
      <c r="M9" s="270" t="s">
        <v>396</v>
      </c>
      <c r="N9" s="373" t="s">
        <v>386</v>
      </c>
      <c r="O9" s="63" t="s">
        <v>376</v>
      </c>
      <c r="P9" s="63" t="s">
        <v>997</v>
      </c>
    </row>
    <row r="10" spans="1:19" s="39" customFormat="1" ht="16.5" customHeight="1">
      <c r="A10" s="82"/>
      <c r="B10" s="74"/>
      <c r="C10" s="374" t="s">
        <v>778</v>
      </c>
      <c r="D10" s="107" t="s">
        <v>998</v>
      </c>
      <c r="E10" s="107" t="s">
        <v>998</v>
      </c>
      <c r="F10" s="107" t="s">
        <v>998</v>
      </c>
      <c r="G10" s="228" t="s">
        <v>999</v>
      </c>
      <c r="H10" s="374" t="s">
        <v>397</v>
      </c>
      <c r="I10" s="107" t="s">
        <v>998</v>
      </c>
      <c r="J10" s="107" t="s">
        <v>998</v>
      </c>
      <c r="K10" s="228" t="s">
        <v>788</v>
      </c>
      <c r="L10" s="375" t="s">
        <v>1000</v>
      </c>
      <c r="M10" s="228" t="s">
        <v>999</v>
      </c>
      <c r="N10" s="376" t="s">
        <v>397</v>
      </c>
      <c r="O10" s="374" t="s">
        <v>397</v>
      </c>
      <c r="P10" s="374" t="s">
        <v>1001</v>
      </c>
    </row>
    <row r="11" spans="1:19" s="39" customFormat="1" ht="16.5" customHeight="1">
      <c r="A11" s="82"/>
      <c r="B11" s="74"/>
      <c r="C11" s="374"/>
      <c r="D11" s="107" t="s">
        <v>1002</v>
      </c>
      <c r="E11" s="107" t="s">
        <v>1003</v>
      </c>
      <c r="F11" s="107" t="s">
        <v>1004</v>
      </c>
      <c r="G11" s="228"/>
      <c r="H11" s="228"/>
      <c r="I11" s="107" t="s">
        <v>1002</v>
      </c>
      <c r="J11" s="107" t="s">
        <v>1003</v>
      </c>
      <c r="K11" s="75"/>
      <c r="L11" s="375" t="s">
        <v>1005</v>
      </c>
      <c r="M11" s="228"/>
      <c r="N11" s="377"/>
      <c r="O11" s="228" t="s">
        <v>375</v>
      </c>
      <c r="P11" s="228" t="s">
        <v>740</v>
      </c>
    </row>
    <row r="12" spans="1:19" s="39" customFormat="1" ht="16.5" customHeight="1">
      <c r="A12" s="87"/>
      <c r="B12" s="98"/>
      <c r="C12" s="378"/>
      <c r="D12" s="139" t="s">
        <v>786</v>
      </c>
      <c r="E12" s="379" t="s">
        <v>414</v>
      </c>
      <c r="F12" s="139"/>
      <c r="G12" s="138"/>
      <c r="H12" s="138"/>
      <c r="I12" s="139"/>
      <c r="J12" s="379" t="s">
        <v>414</v>
      </c>
      <c r="K12" s="130"/>
      <c r="L12" s="139"/>
      <c r="M12" s="138"/>
      <c r="N12" s="230"/>
      <c r="O12" s="138" t="s">
        <v>785</v>
      </c>
      <c r="P12" s="138" t="s">
        <v>1006</v>
      </c>
    </row>
    <row r="13" spans="1:19" s="306" customFormat="1" ht="20.25" customHeight="1">
      <c r="A13" s="405">
        <v>2015</v>
      </c>
      <c r="B13" s="516"/>
      <c r="C13" s="1752">
        <v>135.19516525051907</v>
      </c>
      <c r="D13" s="1752">
        <v>3240.4303710238928</v>
      </c>
      <c r="E13" s="1754">
        <v>8634.7751160416847</v>
      </c>
      <c r="F13" s="1754">
        <v>1398.1908580339534</v>
      </c>
      <c r="G13" s="1754">
        <v>2319.1905478570611</v>
      </c>
      <c r="H13" s="1754">
        <v>15727.782058207113</v>
      </c>
      <c r="I13" s="1752">
        <v>1624.5563750305269</v>
      </c>
      <c r="J13" s="1752">
        <v>2158.0716703687235</v>
      </c>
      <c r="K13" s="1754">
        <v>2372.0454767914325</v>
      </c>
      <c r="L13" s="1754">
        <v>2762.0995860316907</v>
      </c>
      <c r="M13" s="1754">
        <v>697.91655947821869</v>
      </c>
      <c r="N13" s="1752">
        <v>9614.6896677005934</v>
      </c>
      <c r="O13" s="1754">
        <v>25342.471725907704</v>
      </c>
      <c r="P13" s="671">
        <v>504.78855949202136</v>
      </c>
      <c r="Q13" s="321"/>
      <c r="R13" s="321"/>
      <c r="S13" s="321"/>
    </row>
    <row r="14" spans="1:19" s="408" customFormat="1" ht="14.25" customHeight="1">
      <c r="A14" s="356">
        <v>2016</v>
      </c>
      <c r="B14" s="570"/>
      <c r="C14" s="1755">
        <v>120.22797464935482</v>
      </c>
      <c r="D14" s="1755">
        <v>4105.3350049019009</v>
      </c>
      <c r="E14" s="1756">
        <v>9137.0684017827225</v>
      </c>
      <c r="F14" s="1756">
        <v>1934.1422542546011</v>
      </c>
      <c r="G14" s="1756">
        <v>1619.2007948840751</v>
      </c>
      <c r="H14" s="1756">
        <v>16915.944430472653</v>
      </c>
      <c r="I14" s="1755">
        <v>1651.3915218554803</v>
      </c>
      <c r="J14" s="1755">
        <v>1860.7899408962419</v>
      </c>
      <c r="K14" s="1756">
        <v>2585.206405477692</v>
      </c>
      <c r="L14" s="1756">
        <v>2694.8139282300303</v>
      </c>
      <c r="M14" s="1756">
        <v>582.3651644639499</v>
      </c>
      <c r="N14" s="1755">
        <v>9374.5669609233937</v>
      </c>
      <c r="O14" s="1756">
        <v>26290.541391396051</v>
      </c>
      <c r="P14" s="671">
        <v>521.20093997717026</v>
      </c>
      <c r="Q14" s="321"/>
      <c r="R14" s="321"/>
      <c r="S14" s="321"/>
    </row>
    <row r="15" spans="1:19" s="408" customFormat="1" ht="14.25" customHeight="1">
      <c r="A15" s="356">
        <v>2017</v>
      </c>
      <c r="B15" s="570"/>
      <c r="C15" s="1755">
        <v>156.31655123491296</v>
      </c>
      <c r="D15" s="1755">
        <v>4330.5636100570664</v>
      </c>
      <c r="E15" s="1756">
        <v>9625.5315162505885</v>
      </c>
      <c r="F15" s="1756">
        <v>2385.8845530120993</v>
      </c>
      <c r="G15" s="1756">
        <v>1934.4151456389654</v>
      </c>
      <c r="H15" s="1756">
        <v>18432.711376193634</v>
      </c>
      <c r="I15" s="1755">
        <v>1636.4852314575953</v>
      </c>
      <c r="J15" s="1755">
        <v>1447.648181711668</v>
      </c>
      <c r="K15" s="1756">
        <v>2014.7349589525902</v>
      </c>
      <c r="L15" s="1756">
        <v>2331.1935625820015</v>
      </c>
      <c r="M15" s="1756">
        <v>882.77542292042642</v>
      </c>
      <c r="N15" s="1755">
        <v>8312.8373576242811</v>
      </c>
      <c r="O15" s="1756">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f t="shared" ref="C21:P21" si="0">C26</f>
        <v>119.52498147184654</v>
      </c>
      <c r="D21" s="772">
        <f t="shared" si="0"/>
        <v>4845.007557206517</v>
      </c>
      <c r="E21" s="649">
        <f t="shared" si="0"/>
        <v>15165.570174102249</v>
      </c>
      <c r="F21" s="649">
        <f t="shared" si="0"/>
        <v>6338.4310771133223</v>
      </c>
      <c r="G21" s="649">
        <f t="shared" si="0"/>
        <v>1776.5702053599646</v>
      </c>
      <c r="H21" s="649">
        <f t="shared" si="0"/>
        <v>28245.103995253899</v>
      </c>
      <c r="I21" s="772">
        <f t="shared" si="0"/>
        <v>1829.8760130545606</v>
      </c>
      <c r="J21" s="772">
        <f t="shared" si="0"/>
        <v>1304.2713105046714</v>
      </c>
      <c r="K21" s="649">
        <f t="shared" si="0"/>
        <v>4135.9066312329351</v>
      </c>
      <c r="L21" s="649">
        <f t="shared" si="0"/>
        <v>625.73656967015279</v>
      </c>
      <c r="M21" s="649">
        <f t="shared" si="0"/>
        <v>2093.4781268918086</v>
      </c>
      <c r="N21" s="772">
        <f t="shared" si="0"/>
        <v>9989.2686513541285</v>
      </c>
      <c r="O21" s="649">
        <f t="shared" si="0"/>
        <v>38234.372646608033</v>
      </c>
      <c r="P21" s="671">
        <f t="shared" si="0"/>
        <v>439.92985851536173</v>
      </c>
    </row>
    <row r="22" spans="1:19" s="321" customFormat="1" ht="14.25" customHeight="1">
      <c r="A22" s="930">
        <v>2024</v>
      </c>
      <c r="B22" s="1025"/>
      <c r="C22" s="1026">
        <f t="shared" ref="C22:P22" si="1">C30</f>
        <v>177.04466542680666</v>
      </c>
      <c r="D22" s="1026">
        <f t="shared" si="1"/>
        <v>6787.7016149907777</v>
      </c>
      <c r="E22" s="1327">
        <f t="shared" si="1"/>
        <v>18155.360479984505</v>
      </c>
      <c r="F22" s="1027">
        <f t="shared" si="1"/>
        <v>8178.8860480080102</v>
      </c>
      <c r="G22" s="1027">
        <f t="shared" si="1"/>
        <v>2367.1659839738372</v>
      </c>
      <c r="H22" s="1027">
        <f t="shared" si="1"/>
        <v>35666.158792383932</v>
      </c>
      <c r="I22" s="1026">
        <f t="shared" si="1"/>
        <v>3117.7839292219196</v>
      </c>
      <c r="J22" s="1026">
        <f t="shared" si="1"/>
        <v>5315.1122718567003</v>
      </c>
      <c r="K22" s="1027">
        <f t="shared" si="1"/>
        <v>13489.216786829315</v>
      </c>
      <c r="L22" s="1027">
        <f t="shared" si="1"/>
        <v>2036.1622392119077</v>
      </c>
      <c r="M22" s="1027">
        <f t="shared" si="1"/>
        <v>3729.9340096533865</v>
      </c>
      <c r="N22" s="1026">
        <f t="shared" si="1"/>
        <v>27688.209236773229</v>
      </c>
      <c r="O22" s="1027">
        <f t="shared" si="1"/>
        <v>63354.368029157165</v>
      </c>
      <c r="P22" s="1757">
        <f t="shared" si="1"/>
        <v>7008.9325346969727</v>
      </c>
    </row>
    <row r="23" spans="1:19" s="321" customFormat="1" ht="21" customHeight="1">
      <c r="A23" s="770">
        <v>2023</v>
      </c>
      <c r="B23" s="771" t="s">
        <v>243</v>
      </c>
      <c r="C23" s="772">
        <v>125.13301196795865</v>
      </c>
      <c r="D23" s="772">
        <v>4604.693643581596</v>
      </c>
      <c r="E23" s="649">
        <v>15204.600544231635</v>
      </c>
      <c r="F23" s="649">
        <v>5788.8242637392523</v>
      </c>
      <c r="G23" s="649">
        <v>1823.9786215134329</v>
      </c>
      <c r="H23" s="649">
        <v>27547.230085033865</v>
      </c>
      <c r="I23" s="772">
        <v>1669.2074314276533</v>
      </c>
      <c r="J23" s="772">
        <v>1529.1499361856663</v>
      </c>
      <c r="K23" s="649">
        <v>4467.4022171114148</v>
      </c>
      <c r="L23" s="649">
        <v>412.35971424443528</v>
      </c>
      <c r="M23" s="649">
        <v>1418.5657788756512</v>
      </c>
      <c r="N23" s="772">
        <v>9496.6850778448206</v>
      </c>
      <c r="O23" s="649">
        <v>37043.915162878686</v>
      </c>
      <c r="P23" s="671">
        <v>178.71529217021276</v>
      </c>
    </row>
    <row r="24" spans="1:19" s="321" customFormat="1" ht="15">
      <c r="A24" s="770"/>
      <c r="B24" s="771" t="s">
        <v>244</v>
      </c>
      <c r="C24" s="772">
        <v>124.30030031380132</v>
      </c>
      <c r="D24" s="772">
        <v>4399.6439384026808</v>
      </c>
      <c r="E24" s="649">
        <v>15295.600394490431</v>
      </c>
      <c r="F24" s="649">
        <v>6262.0683608788449</v>
      </c>
      <c r="G24" s="649">
        <v>1857.2075746126316</v>
      </c>
      <c r="H24" s="649">
        <v>27938.820568698393</v>
      </c>
      <c r="I24" s="772">
        <v>1674.268036546549</v>
      </c>
      <c r="J24" s="772">
        <v>1467.798783921538</v>
      </c>
      <c r="K24" s="649">
        <v>4231.5291962428109</v>
      </c>
      <c r="L24" s="649">
        <v>407.51421195570572</v>
      </c>
      <c r="M24" s="649">
        <v>1939.9371518749824</v>
      </c>
      <c r="N24" s="772">
        <v>9721.0473805415859</v>
      </c>
      <c r="O24" s="649">
        <v>37659.837949239976</v>
      </c>
      <c r="P24" s="671">
        <v>424.98879498282986</v>
      </c>
    </row>
    <row r="25" spans="1:19" s="321" customFormat="1" ht="15">
      <c r="A25" s="770"/>
      <c r="B25" s="771" t="s">
        <v>245</v>
      </c>
      <c r="C25" s="772">
        <v>122.57612327332674</v>
      </c>
      <c r="D25" s="649">
        <v>4780.7809248869034</v>
      </c>
      <c r="E25" s="788">
        <v>15247.911934011752</v>
      </c>
      <c r="F25" s="649">
        <v>6306.132963959667</v>
      </c>
      <c r="G25" s="649">
        <v>1971.392414212014</v>
      </c>
      <c r="H25" s="649">
        <v>28428.844360343664</v>
      </c>
      <c r="I25" s="772">
        <v>1635.6911193778203</v>
      </c>
      <c r="J25" s="772">
        <v>1243.0206034845596</v>
      </c>
      <c r="K25" s="649">
        <v>4175.8886148471393</v>
      </c>
      <c r="L25" s="649">
        <v>356.99276782647621</v>
      </c>
      <c r="M25" s="649">
        <v>2277.2870870542652</v>
      </c>
      <c r="N25" s="772">
        <v>9688.880192590259</v>
      </c>
      <c r="O25" s="649">
        <v>38117.724552933927</v>
      </c>
      <c r="P25" s="671">
        <v>423.18977171061704</v>
      </c>
    </row>
    <row r="26" spans="1:19" s="321" customFormat="1" ht="15">
      <c r="A26" s="770"/>
      <c r="B26" s="771" t="s">
        <v>242</v>
      </c>
      <c r="C26" s="772">
        <v>119.52498147184654</v>
      </c>
      <c r="D26" s="772">
        <v>4845.007557206517</v>
      </c>
      <c r="E26" s="649">
        <v>15165.570174102249</v>
      </c>
      <c r="F26" s="649">
        <v>6338.4310771133223</v>
      </c>
      <c r="G26" s="649">
        <v>1776.5702053599646</v>
      </c>
      <c r="H26" s="649">
        <v>28245.103995253899</v>
      </c>
      <c r="I26" s="772">
        <v>1829.8760130545606</v>
      </c>
      <c r="J26" s="772">
        <v>1304.2713105046714</v>
      </c>
      <c r="K26" s="649">
        <v>4135.9066312329351</v>
      </c>
      <c r="L26" s="649">
        <v>625.73656967015279</v>
      </c>
      <c r="M26" s="649">
        <v>2093.4781268918086</v>
      </c>
      <c r="N26" s="772">
        <v>9989.2686513541285</v>
      </c>
      <c r="O26" s="649">
        <v>38234.372646608033</v>
      </c>
      <c r="P26" s="671">
        <v>439.92985851536173</v>
      </c>
    </row>
    <row r="27" spans="1:19" s="321" customFormat="1" ht="21" customHeight="1">
      <c r="A27" s="770">
        <v>2024</v>
      </c>
      <c r="B27" s="771" t="s">
        <v>243</v>
      </c>
      <c r="C27" s="772">
        <f t="shared" ref="C27:P27" si="2">C34</f>
        <v>251.79463949239664</v>
      </c>
      <c r="D27" s="772">
        <f t="shared" si="2"/>
        <v>4492.8350571390911</v>
      </c>
      <c r="E27" s="649">
        <f t="shared" si="2"/>
        <v>19688.217327763192</v>
      </c>
      <c r="F27" s="649">
        <f t="shared" si="2"/>
        <v>8205.3796589868289</v>
      </c>
      <c r="G27" s="649">
        <f t="shared" si="2"/>
        <v>2027.8910098009756</v>
      </c>
      <c r="H27" s="649">
        <f t="shared" si="2"/>
        <v>34666.117693182481</v>
      </c>
      <c r="I27" s="772">
        <f t="shared" si="2"/>
        <v>2984.6641802744134</v>
      </c>
      <c r="J27" s="772">
        <f t="shared" si="2"/>
        <v>4685.1914344018969</v>
      </c>
      <c r="K27" s="649">
        <f t="shared" si="2"/>
        <v>13207.587508456449</v>
      </c>
      <c r="L27" s="649">
        <f t="shared" si="2"/>
        <v>1987.582180360414</v>
      </c>
      <c r="M27" s="649">
        <f t="shared" si="2"/>
        <v>3471.3441063735781</v>
      </c>
      <c r="N27" s="772">
        <f t="shared" si="2"/>
        <v>26336.369409866747</v>
      </c>
      <c r="O27" s="649">
        <f t="shared" si="2"/>
        <v>61002.487103049229</v>
      </c>
      <c r="P27" s="671">
        <f t="shared" si="2"/>
        <v>4719.4687294517889</v>
      </c>
    </row>
    <row r="28" spans="1:19" s="321" customFormat="1" ht="15" customHeight="1">
      <c r="A28" s="770"/>
      <c r="B28" s="771" t="s">
        <v>244</v>
      </c>
      <c r="C28" s="772">
        <f t="shared" ref="C28:P28" si="3">C37</f>
        <v>211.26144486570138</v>
      </c>
      <c r="D28" s="772">
        <f t="shared" si="3"/>
        <v>5482.5666377605521</v>
      </c>
      <c r="E28" s="649">
        <f t="shared" si="3"/>
        <v>19456.585549096148</v>
      </c>
      <c r="F28" s="649">
        <f t="shared" si="3"/>
        <v>7979.9470203448745</v>
      </c>
      <c r="G28" s="649">
        <f t="shared" si="3"/>
        <v>2329.802532260675</v>
      </c>
      <c r="H28" s="649">
        <f t="shared" si="3"/>
        <v>35460.163184327947</v>
      </c>
      <c r="I28" s="772">
        <f t="shared" si="3"/>
        <v>3545.6153350983941</v>
      </c>
      <c r="J28" s="772">
        <f t="shared" si="3"/>
        <v>4728.1654964454337</v>
      </c>
      <c r="K28" s="649">
        <f t="shared" si="3"/>
        <v>12932.837871172876</v>
      </c>
      <c r="L28" s="649">
        <f t="shared" si="3"/>
        <v>1803.1046773423257</v>
      </c>
      <c r="M28" s="649">
        <f t="shared" si="3"/>
        <v>3232.9417251875943</v>
      </c>
      <c r="N28" s="772">
        <f t="shared" si="3"/>
        <v>26242.645105246625</v>
      </c>
      <c r="O28" s="649">
        <f t="shared" si="3"/>
        <v>61702.838289574582</v>
      </c>
      <c r="P28" s="671">
        <f t="shared" si="3"/>
        <v>5855.6432712366086</v>
      </c>
    </row>
    <row r="29" spans="1:19" s="321" customFormat="1" ht="15" customHeight="1">
      <c r="A29" s="770"/>
      <c r="B29" s="771" t="s">
        <v>245</v>
      </c>
      <c r="C29" s="772">
        <f t="shared" ref="C29:P29" si="4">C40</f>
        <v>150.83731913548206</v>
      </c>
      <c r="D29" s="772">
        <f t="shared" si="4"/>
        <v>6021.1237674052973</v>
      </c>
      <c r="E29" s="649">
        <f t="shared" si="4"/>
        <v>18921.772217609468</v>
      </c>
      <c r="F29" s="649">
        <f t="shared" si="4"/>
        <v>8390.0013208940472</v>
      </c>
      <c r="G29" s="649">
        <f t="shared" si="4"/>
        <v>2451.5438445778359</v>
      </c>
      <c r="H29" s="649">
        <f t="shared" si="4"/>
        <v>35935.198469622141</v>
      </c>
      <c r="I29" s="772">
        <f t="shared" si="4"/>
        <v>3374.450939326749</v>
      </c>
      <c r="J29" s="772">
        <f t="shared" si="4"/>
        <v>4305.3310231749128</v>
      </c>
      <c r="K29" s="649">
        <f t="shared" si="4"/>
        <v>13159.238238329921</v>
      </c>
      <c r="L29" s="649">
        <f t="shared" si="4"/>
        <v>1931.055969429636</v>
      </c>
      <c r="M29" s="649">
        <f t="shared" si="4"/>
        <v>3605.2428248439301</v>
      </c>
      <c r="N29" s="772">
        <f t="shared" si="4"/>
        <v>26375.318995105146</v>
      </c>
      <c r="O29" s="649">
        <f t="shared" si="4"/>
        <v>62310.517464727287</v>
      </c>
      <c r="P29" s="671">
        <f t="shared" si="4"/>
        <v>5979.9279797535564</v>
      </c>
    </row>
    <row r="30" spans="1:19" s="321" customFormat="1" ht="15" customHeight="1">
      <c r="A30" s="930"/>
      <c r="B30" s="1025" t="s">
        <v>242</v>
      </c>
      <c r="C30" s="1026">
        <f t="shared" ref="C30:P30" si="5">C43</f>
        <v>177.04466542680666</v>
      </c>
      <c r="D30" s="1026">
        <f t="shared" si="5"/>
        <v>6787.7016149907777</v>
      </c>
      <c r="E30" s="1027">
        <f t="shared" si="5"/>
        <v>18155.360479984505</v>
      </c>
      <c r="F30" s="1027">
        <f t="shared" si="5"/>
        <v>8178.8860480080102</v>
      </c>
      <c r="G30" s="1027">
        <f t="shared" si="5"/>
        <v>2367.1659839738372</v>
      </c>
      <c r="H30" s="1027">
        <f t="shared" si="5"/>
        <v>35666.158792383932</v>
      </c>
      <c r="I30" s="1026">
        <f t="shared" si="5"/>
        <v>3117.7839292219196</v>
      </c>
      <c r="J30" s="1026">
        <f t="shared" si="5"/>
        <v>5315.1122718567003</v>
      </c>
      <c r="K30" s="1027">
        <f t="shared" si="5"/>
        <v>13489.216786829315</v>
      </c>
      <c r="L30" s="1027">
        <f t="shared" si="5"/>
        <v>2036.1622392119077</v>
      </c>
      <c r="M30" s="1027">
        <f t="shared" si="5"/>
        <v>3729.9340096533865</v>
      </c>
      <c r="N30" s="1026">
        <f t="shared" si="5"/>
        <v>27688.209236773229</v>
      </c>
      <c r="O30" s="1027">
        <f t="shared" si="5"/>
        <v>63354.368029157165</v>
      </c>
      <c r="P30" s="1757">
        <f t="shared" si="5"/>
        <v>7008.9325346969727</v>
      </c>
    </row>
    <row r="31" spans="1:19" s="321" customFormat="1" ht="21" customHeight="1">
      <c r="A31" s="770">
        <v>2023</v>
      </c>
      <c r="B31" s="771" t="s">
        <v>426</v>
      </c>
      <c r="C31" s="772">
        <v>119.52498147184654</v>
      </c>
      <c r="D31" s="772">
        <v>4845.007557206517</v>
      </c>
      <c r="E31" s="649">
        <v>15165.570174102249</v>
      </c>
      <c r="F31" s="649">
        <v>6338.4310771133223</v>
      </c>
      <c r="G31" s="649">
        <v>1776.5702053599646</v>
      </c>
      <c r="H31" s="649">
        <v>28245.103995253899</v>
      </c>
      <c r="I31" s="772">
        <v>1829.8760130545606</v>
      </c>
      <c r="J31" s="772">
        <v>1304.2713105046714</v>
      </c>
      <c r="K31" s="649">
        <v>4135.9066312329351</v>
      </c>
      <c r="L31" s="649">
        <v>625.73656967015279</v>
      </c>
      <c r="M31" s="649">
        <v>2093.4781268918086</v>
      </c>
      <c r="N31" s="772">
        <v>9989.2686513541285</v>
      </c>
      <c r="O31" s="649">
        <v>38234.372646608033</v>
      </c>
      <c r="P31" s="649">
        <v>439.92985851536173</v>
      </c>
      <c r="Q31" s="793"/>
      <c r="R31" s="793"/>
      <c r="S31" s="793"/>
    </row>
    <row r="32" spans="1:19" s="321" customFormat="1" ht="21" customHeight="1">
      <c r="A32" s="770">
        <v>2024</v>
      </c>
      <c r="B32" s="771" t="s">
        <v>427</v>
      </c>
      <c r="C32" s="772">
        <v>146.76806497825697</v>
      </c>
      <c r="D32" s="772">
        <v>5242.3835866329682</v>
      </c>
      <c r="E32" s="649">
        <v>19479.575233212374</v>
      </c>
      <c r="F32" s="649">
        <v>8027.5149101428633</v>
      </c>
      <c r="G32" s="649">
        <v>2180.1486796224399</v>
      </c>
      <c r="H32" s="649">
        <v>35076.410474588905</v>
      </c>
      <c r="I32" s="772">
        <v>4030.2787212305043</v>
      </c>
      <c r="J32" s="772">
        <v>4678.7806564819803</v>
      </c>
      <c r="K32" s="649">
        <v>11284.93834081257</v>
      </c>
      <c r="L32" s="649">
        <v>3740.8127143626252</v>
      </c>
      <c r="M32" s="649">
        <v>2754.1817835455108</v>
      </c>
      <c r="N32" s="772">
        <v>26489.022216433186</v>
      </c>
      <c r="O32" s="649">
        <v>61565.432691022092</v>
      </c>
      <c r="P32" s="649">
        <v>5781.1161365334547</v>
      </c>
      <c r="Q32" s="793"/>
      <c r="R32" s="793"/>
      <c r="S32" s="793"/>
    </row>
    <row r="33" spans="1:19" s="321" customFormat="1" ht="16.5" customHeight="1">
      <c r="A33" s="770"/>
      <c r="B33" s="771" t="s">
        <v>416</v>
      </c>
      <c r="C33" s="772">
        <v>252.58890187988237</v>
      </c>
      <c r="D33" s="772">
        <v>4798.5200201043517</v>
      </c>
      <c r="E33" s="649">
        <v>19408.764666696381</v>
      </c>
      <c r="F33" s="649">
        <v>8168.1093438884354</v>
      </c>
      <c r="G33" s="649">
        <v>2048.2297504369876</v>
      </c>
      <c r="H33" s="649">
        <v>34676.19268300604</v>
      </c>
      <c r="I33" s="772">
        <v>4232.0975227214876</v>
      </c>
      <c r="J33" s="772">
        <v>4589.7356598634742</v>
      </c>
      <c r="K33" s="649">
        <v>12888.035469934557</v>
      </c>
      <c r="L33" s="649">
        <v>1985.9641341638726</v>
      </c>
      <c r="M33" s="649">
        <v>3482.320639206072</v>
      </c>
      <c r="N33" s="772">
        <v>27178.143425889466</v>
      </c>
      <c r="O33" s="649">
        <v>61854.346108895494</v>
      </c>
      <c r="P33" s="649">
        <v>5056.451354741539</v>
      </c>
      <c r="Q33" s="793"/>
      <c r="R33" s="793"/>
      <c r="S33" s="793"/>
    </row>
    <row r="34" spans="1:19" s="321" customFormat="1" ht="16.5" customHeight="1">
      <c r="A34" s="770"/>
      <c r="B34" s="771" t="s">
        <v>417</v>
      </c>
      <c r="C34" s="772">
        <v>251.79463949239664</v>
      </c>
      <c r="D34" s="772">
        <v>4492.8350571390911</v>
      </c>
      <c r="E34" s="649">
        <v>19688.217327763192</v>
      </c>
      <c r="F34" s="649">
        <v>8205.3796589868289</v>
      </c>
      <c r="G34" s="649">
        <v>2027.8910098009756</v>
      </c>
      <c r="H34" s="649">
        <v>34666.117693182481</v>
      </c>
      <c r="I34" s="772">
        <v>2984.6641802744134</v>
      </c>
      <c r="J34" s="772">
        <v>4685.1914344018969</v>
      </c>
      <c r="K34" s="649">
        <v>13207.587508456449</v>
      </c>
      <c r="L34" s="649">
        <v>1987.582180360414</v>
      </c>
      <c r="M34" s="649">
        <v>3471.3441063735781</v>
      </c>
      <c r="N34" s="772">
        <v>26336.369409866747</v>
      </c>
      <c r="O34" s="649">
        <v>61002.487103049229</v>
      </c>
      <c r="P34" s="649">
        <v>4719.4687294517889</v>
      </c>
      <c r="Q34" s="793"/>
      <c r="R34" s="793"/>
      <c r="S34" s="793"/>
    </row>
    <row r="35" spans="1:19" s="321" customFormat="1" ht="16.5" customHeight="1">
      <c r="A35" s="770"/>
      <c r="B35" s="771" t="s">
        <v>418</v>
      </c>
      <c r="C35" s="772">
        <v>326.861330262634</v>
      </c>
      <c r="D35" s="772">
        <v>5169.3824190208879</v>
      </c>
      <c r="E35" s="649">
        <v>19499.716731015811</v>
      </c>
      <c r="F35" s="649">
        <v>8157.334246268254</v>
      </c>
      <c r="G35" s="649">
        <v>2066.249570123689</v>
      </c>
      <c r="H35" s="649">
        <v>35219.544296691274</v>
      </c>
      <c r="I35" s="772">
        <v>3447.3086634550805</v>
      </c>
      <c r="J35" s="772">
        <v>4665.6907259610562</v>
      </c>
      <c r="K35" s="649">
        <v>13081.843679476457</v>
      </c>
      <c r="L35" s="649">
        <v>1951.974223978395</v>
      </c>
      <c r="M35" s="649">
        <v>3568.1686044254739</v>
      </c>
      <c r="N35" s="772">
        <v>26715.005897296462</v>
      </c>
      <c r="O35" s="649">
        <v>61934.540193987734</v>
      </c>
      <c r="P35" s="649">
        <v>5718.524131449959</v>
      </c>
      <c r="Q35" s="793"/>
      <c r="R35" s="793"/>
      <c r="S35" s="793"/>
    </row>
    <row r="36" spans="1:19" s="321" customFormat="1" ht="16.5" customHeight="1">
      <c r="A36" s="770"/>
      <c r="B36" s="771" t="s">
        <v>419</v>
      </c>
      <c r="C36" s="772">
        <v>264.05578150143805</v>
      </c>
      <c r="D36" s="772">
        <v>5218.315648624005</v>
      </c>
      <c r="E36" s="649">
        <v>19571.703933674598</v>
      </c>
      <c r="F36" s="649">
        <v>7978.2111684210713</v>
      </c>
      <c r="G36" s="649">
        <v>2086.71191893077</v>
      </c>
      <c r="H36" s="649">
        <v>35118.998451151878</v>
      </c>
      <c r="I36" s="772">
        <v>4597.0577868891705</v>
      </c>
      <c r="J36" s="772">
        <v>4683.1394112888711</v>
      </c>
      <c r="K36" s="649">
        <v>12948.333866162975</v>
      </c>
      <c r="L36" s="649">
        <v>1911.2015073899647</v>
      </c>
      <c r="M36" s="649">
        <v>3320.4829523876451</v>
      </c>
      <c r="N36" s="772">
        <v>27460.205524118624</v>
      </c>
      <c r="O36" s="649">
        <v>62579.203975270488</v>
      </c>
      <c r="P36" s="649">
        <v>5794.0668735094823</v>
      </c>
      <c r="Q36" s="793"/>
      <c r="R36" s="793"/>
      <c r="S36" s="793"/>
    </row>
    <row r="37" spans="1:19" s="321" customFormat="1" ht="16.5" customHeight="1">
      <c r="A37" s="770"/>
      <c r="B37" s="771" t="s">
        <v>420</v>
      </c>
      <c r="C37" s="772">
        <v>211.26144486570138</v>
      </c>
      <c r="D37" s="772">
        <v>5482.5666377605521</v>
      </c>
      <c r="E37" s="649">
        <v>19456.585549096148</v>
      </c>
      <c r="F37" s="649">
        <v>7979.9470203448745</v>
      </c>
      <c r="G37" s="649">
        <v>2329.802532260675</v>
      </c>
      <c r="H37" s="649">
        <v>35460.163184327947</v>
      </c>
      <c r="I37" s="772">
        <v>3545.6153350983941</v>
      </c>
      <c r="J37" s="772">
        <v>4728.1654964454337</v>
      </c>
      <c r="K37" s="649">
        <v>12932.837871172876</v>
      </c>
      <c r="L37" s="649">
        <v>1803.1046773423257</v>
      </c>
      <c r="M37" s="649">
        <v>3232.9417251875943</v>
      </c>
      <c r="N37" s="772">
        <v>26242.645105246625</v>
      </c>
      <c r="O37" s="649">
        <v>61702.838289574582</v>
      </c>
      <c r="P37" s="649">
        <v>5855.6432712366086</v>
      </c>
      <c r="Q37" s="793"/>
      <c r="R37" s="793"/>
      <c r="S37" s="793"/>
    </row>
    <row r="38" spans="1:19" s="321" customFormat="1" ht="16.5" customHeight="1">
      <c r="A38" s="770"/>
      <c r="B38" s="771" t="s">
        <v>421</v>
      </c>
      <c r="C38" s="772">
        <v>216.14148467807343</v>
      </c>
      <c r="D38" s="772">
        <v>6122.0551116188353</v>
      </c>
      <c r="E38" s="649">
        <v>19117.302359880268</v>
      </c>
      <c r="F38" s="649">
        <v>8125.9379864251378</v>
      </c>
      <c r="G38" s="649">
        <v>2402.8707018769892</v>
      </c>
      <c r="H38" s="649">
        <v>35984.307644479297</v>
      </c>
      <c r="I38" s="772">
        <v>3266.7939105876394</v>
      </c>
      <c r="J38" s="772">
        <v>4581.7004137103249</v>
      </c>
      <c r="K38" s="649">
        <v>13145.111787500584</v>
      </c>
      <c r="L38" s="649">
        <v>1838.8292851039566</v>
      </c>
      <c r="M38" s="649">
        <v>3242.3594420655199</v>
      </c>
      <c r="N38" s="772">
        <v>26074.764838968025</v>
      </c>
      <c r="O38" s="649">
        <v>62059.072483447322</v>
      </c>
      <c r="P38" s="649">
        <v>5739.3846609436278</v>
      </c>
      <c r="Q38" s="793"/>
      <c r="R38" s="793"/>
      <c r="S38" s="793"/>
    </row>
    <row r="39" spans="1:19" s="321" customFormat="1" ht="16.5" customHeight="1">
      <c r="A39" s="770"/>
      <c r="B39" s="771" t="s">
        <v>422</v>
      </c>
      <c r="C39" s="772">
        <v>145.6592538750341</v>
      </c>
      <c r="D39" s="772">
        <v>5909.9677243325459</v>
      </c>
      <c r="E39" s="649">
        <v>19160.952378571117</v>
      </c>
      <c r="F39" s="649">
        <v>8100.8410926338802</v>
      </c>
      <c r="G39" s="649">
        <v>2320.0488254516572</v>
      </c>
      <c r="H39" s="649">
        <v>35637.479274864229</v>
      </c>
      <c r="I39" s="772">
        <v>3438.7749335090098</v>
      </c>
      <c r="J39" s="772">
        <v>4146.2108515765831</v>
      </c>
      <c r="K39" s="649">
        <v>13112.545047423637</v>
      </c>
      <c r="L39" s="649">
        <v>1977.1587954160668</v>
      </c>
      <c r="M39" s="649">
        <v>3176.2375701889282</v>
      </c>
      <c r="N39" s="772">
        <v>25850.927198114223</v>
      </c>
      <c r="O39" s="649">
        <v>61488.406472978451</v>
      </c>
      <c r="P39" s="649">
        <v>5407.246254372676</v>
      </c>
      <c r="Q39" s="793"/>
      <c r="R39" s="793"/>
      <c r="S39" s="793"/>
    </row>
    <row r="40" spans="1:19" s="321" customFormat="1" ht="16.5" customHeight="1">
      <c r="A40" s="770"/>
      <c r="B40" s="771" t="s">
        <v>423</v>
      </c>
      <c r="C40" s="772">
        <v>150.83731913548206</v>
      </c>
      <c r="D40" s="772">
        <v>6021.1237674052973</v>
      </c>
      <c r="E40" s="649">
        <v>18921.772217609468</v>
      </c>
      <c r="F40" s="649">
        <v>8390.0013208940472</v>
      </c>
      <c r="G40" s="649">
        <v>2451.5438445778359</v>
      </c>
      <c r="H40" s="649">
        <v>35935.198469622141</v>
      </c>
      <c r="I40" s="772">
        <v>3374.450939326749</v>
      </c>
      <c r="J40" s="772">
        <v>4305.3310231749128</v>
      </c>
      <c r="K40" s="649">
        <v>13159.238238329921</v>
      </c>
      <c r="L40" s="649">
        <v>1931.055969429636</v>
      </c>
      <c r="M40" s="649">
        <v>3605.2428248439301</v>
      </c>
      <c r="N40" s="772">
        <v>26375.318995105146</v>
      </c>
      <c r="O40" s="649">
        <v>62310.517464727287</v>
      </c>
      <c r="P40" s="649">
        <v>5979.9279797535564</v>
      </c>
      <c r="Q40" s="793"/>
      <c r="R40" s="793"/>
      <c r="S40" s="793"/>
    </row>
    <row r="41" spans="1:19" s="321" customFormat="1" ht="16.5" customHeight="1">
      <c r="A41" s="770"/>
      <c r="B41" s="771" t="s">
        <v>424</v>
      </c>
      <c r="C41" s="772">
        <v>139.96563768052715</v>
      </c>
      <c r="D41" s="772">
        <v>6096.8408472528163</v>
      </c>
      <c r="E41" s="649">
        <v>19094.102462359962</v>
      </c>
      <c r="F41" s="649">
        <v>8369.8563462725106</v>
      </c>
      <c r="G41" s="649">
        <v>2487.1632041776611</v>
      </c>
      <c r="H41" s="649">
        <v>36187.958497743472</v>
      </c>
      <c r="I41" s="772">
        <v>3206.7710091398822</v>
      </c>
      <c r="J41" s="772">
        <v>4347.2056562131575</v>
      </c>
      <c r="K41" s="649">
        <v>13060.047106069618</v>
      </c>
      <c r="L41" s="649">
        <v>1640.8910995361869</v>
      </c>
      <c r="M41" s="649">
        <v>4185.5190961713206</v>
      </c>
      <c r="N41" s="772">
        <v>26440.433967130168</v>
      </c>
      <c r="O41" s="649">
        <v>62628.362464873644</v>
      </c>
      <c r="P41" s="649">
        <v>7007.0252758419438</v>
      </c>
      <c r="Q41" s="793"/>
      <c r="R41" s="793"/>
      <c r="S41" s="793"/>
    </row>
    <row r="42" spans="1:19" s="321" customFormat="1" ht="16.5" customHeight="1">
      <c r="A42" s="770"/>
      <c r="B42" s="771" t="s">
        <v>425</v>
      </c>
      <c r="C42" s="772">
        <v>180.30778954828699</v>
      </c>
      <c r="D42" s="772">
        <v>7228.8950113567598</v>
      </c>
      <c r="E42" s="649">
        <v>18589.902422910476</v>
      </c>
      <c r="F42" s="649">
        <v>8125.7189051762889</v>
      </c>
      <c r="G42" s="649">
        <v>2406.5742673321288</v>
      </c>
      <c r="H42" s="649">
        <v>36531.398396323944</v>
      </c>
      <c r="I42" s="772">
        <v>3494.1644589815864</v>
      </c>
      <c r="J42" s="772">
        <v>4861.3348486410769</v>
      </c>
      <c r="K42" s="649">
        <v>13518.756325065262</v>
      </c>
      <c r="L42" s="649">
        <v>1814.3194249843157</v>
      </c>
      <c r="M42" s="649">
        <v>2825.2304075316733</v>
      </c>
      <c r="N42" s="772">
        <v>26513.795465203912</v>
      </c>
      <c r="O42" s="649">
        <v>63045.193861527849</v>
      </c>
      <c r="P42" s="649">
        <v>7485.8798186601935</v>
      </c>
      <c r="Q42" s="793"/>
      <c r="R42" s="793"/>
      <c r="S42" s="793"/>
    </row>
    <row r="43" spans="1:19" s="321" customFormat="1" ht="16.5" customHeight="1">
      <c r="A43" s="770"/>
      <c r="B43" s="771" t="s">
        <v>426</v>
      </c>
      <c r="C43" s="772">
        <v>177.04466542680666</v>
      </c>
      <c r="D43" s="772">
        <v>6787.7016149907777</v>
      </c>
      <c r="E43" s="649">
        <v>18155.360479984505</v>
      </c>
      <c r="F43" s="649">
        <v>8178.8860480080102</v>
      </c>
      <c r="G43" s="649">
        <v>2367.1659839738372</v>
      </c>
      <c r="H43" s="649">
        <v>35666.158792383932</v>
      </c>
      <c r="I43" s="772">
        <v>3117.7839292219196</v>
      </c>
      <c r="J43" s="772">
        <v>5315.1122718567003</v>
      </c>
      <c r="K43" s="649">
        <v>13489.216786829315</v>
      </c>
      <c r="L43" s="649">
        <v>2036.1622392119077</v>
      </c>
      <c r="M43" s="649">
        <v>3729.9340096533865</v>
      </c>
      <c r="N43" s="772">
        <v>27688.209236773229</v>
      </c>
      <c r="O43" s="649">
        <v>63354.368029157165</v>
      </c>
      <c r="P43" s="649">
        <v>7008.9325346969727</v>
      </c>
      <c r="Q43" s="793"/>
      <c r="R43" s="793"/>
      <c r="S43" s="793"/>
    </row>
    <row r="44" spans="1:19" ht="19.5" customHeight="1">
      <c r="A44" s="380" t="s">
        <v>1007</v>
      </c>
      <c r="B44" s="220"/>
      <c r="C44" s="220"/>
      <c r="D44" s="220"/>
      <c r="E44" s="220"/>
      <c r="F44" s="220"/>
      <c r="G44" s="220"/>
      <c r="H44" s="220"/>
      <c r="I44" s="220"/>
      <c r="J44" s="220"/>
      <c r="K44" s="220"/>
      <c r="L44" s="220"/>
      <c r="M44" s="220"/>
      <c r="N44" s="220"/>
      <c r="O44" s="745"/>
      <c r="P44" s="745" t="s">
        <v>1008</v>
      </c>
    </row>
    <row r="45" spans="1:19">
      <c r="A45" s="381" t="s">
        <v>1009</v>
      </c>
      <c r="O45" s="755"/>
      <c r="P45" s="755" t="s">
        <v>1010</v>
      </c>
    </row>
    <row r="46" spans="1:19">
      <c r="A46" s="381" t="s">
        <v>1011</v>
      </c>
      <c r="O46" s="755"/>
      <c r="P46" s="755" t="s">
        <v>1012</v>
      </c>
    </row>
    <row r="48" spans="1:19">
      <c r="A48" s="382" t="s">
        <v>1047</v>
      </c>
      <c r="B48" s="3"/>
      <c r="C48" s="3"/>
      <c r="D48" s="3"/>
      <c r="E48" s="3"/>
      <c r="F48" s="3"/>
      <c r="G48" s="3"/>
      <c r="H48" s="3"/>
      <c r="I48" s="3"/>
      <c r="J48" s="3"/>
      <c r="K48" s="3"/>
      <c r="L48" s="3"/>
      <c r="M48" s="3"/>
      <c r="N48" s="3"/>
      <c r="O48" s="3"/>
      <c r="P48" s="3"/>
    </row>
    <row r="49" spans="3:16">
      <c r="C49" s="601"/>
      <c r="D49" s="601"/>
      <c r="E49" s="601"/>
      <c r="F49" s="601"/>
      <c r="G49" s="601"/>
      <c r="H49" s="601"/>
      <c r="I49" s="601"/>
      <c r="J49" s="601"/>
      <c r="K49" s="601"/>
      <c r="L49" s="601"/>
      <c r="M49" s="601"/>
      <c r="N49" s="601"/>
      <c r="O49" s="601"/>
      <c r="P49" s="601"/>
    </row>
  </sheetData>
  <phoneticPr fontId="32" type="noConversion"/>
  <printOptions horizontalCentered="1" verticalCentered="1"/>
  <pageMargins left="0" right="0" top="0" bottom="0" header="0.5" footer="0.5"/>
  <pageSetup paperSize="9" scale="73"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34" activePane="bottomLeft" state="frozen"/>
      <selection activeCell="B12" sqref="B12"/>
      <selection pane="bottomLeft" activeCell="M38" sqref="M38"/>
    </sheetView>
  </sheetViews>
  <sheetFormatPr defaultRowHeight="12.75"/>
  <cols>
    <col min="1" max="2" width="9.7109375" style="25" customWidth="1"/>
    <col min="3" max="3" width="11.42578125" style="25" customWidth="1"/>
    <col min="4" max="4" width="12.7109375" style="25" customWidth="1"/>
    <col min="5" max="5" width="14" style="25" customWidth="1"/>
    <col min="6" max="6" width="14.7109375" style="25" customWidth="1"/>
    <col min="7" max="7" width="10.7109375" style="25" customWidth="1"/>
    <col min="8" max="8" width="14.28515625" style="25" customWidth="1"/>
    <col min="9" max="9" width="12" style="25" customWidth="1"/>
    <col min="10" max="10" width="12.7109375" style="25" customWidth="1"/>
    <col min="11" max="11" width="14" style="25" customWidth="1"/>
    <col min="12" max="12" width="12.7109375" style="25" customWidth="1"/>
    <col min="13" max="13" width="9.7109375" style="25" bestFit="1" customWidth="1"/>
    <col min="14" max="14" width="12" style="25" customWidth="1"/>
    <col min="15" max="15" width="12.7109375" style="25" customWidth="1"/>
    <col min="16" max="16" width="10.7109375" style="25" customWidth="1"/>
    <col min="17" max="16384" width="9.140625" style="25"/>
  </cols>
  <sheetData>
    <row r="1" spans="1:19" s="8" customFormat="1" ht="18" customHeight="1">
      <c r="A1" s="16" t="s">
        <v>1761</v>
      </c>
      <c r="B1" s="10"/>
      <c r="C1" s="10"/>
      <c r="D1" s="10"/>
      <c r="E1" s="10"/>
      <c r="F1" s="10"/>
      <c r="G1" s="10"/>
      <c r="H1" s="10"/>
      <c r="I1" s="10"/>
      <c r="J1" s="10"/>
      <c r="K1" s="10"/>
      <c r="L1" s="10"/>
      <c r="M1" s="10"/>
      <c r="N1" s="10"/>
      <c r="O1" s="10"/>
      <c r="P1" s="10"/>
    </row>
    <row r="2" spans="1:19" s="8" customFormat="1" ht="18" customHeight="1">
      <c r="A2" s="1745" t="s">
        <v>1045</v>
      </c>
      <c r="B2" s="1746"/>
      <c r="C2" s="1746"/>
      <c r="D2" s="1746"/>
      <c r="E2" s="1746"/>
      <c r="F2" s="1746"/>
      <c r="G2" s="1746"/>
      <c r="H2" s="1746"/>
      <c r="I2" s="1746"/>
      <c r="J2" s="1746"/>
      <c r="K2" s="1746"/>
      <c r="L2" s="1746"/>
      <c r="M2" s="1746"/>
      <c r="N2" s="1746"/>
      <c r="O2" s="1746"/>
      <c r="P2" s="1746"/>
    </row>
    <row r="3" spans="1:19" s="8" customFormat="1" ht="18" customHeight="1">
      <c r="A3" s="1747" t="s">
        <v>1046</v>
      </c>
      <c r="B3" s="1746"/>
      <c r="C3" s="1746"/>
      <c r="D3" s="1746"/>
      <c r="E3" s="1746"/>
      <c r="F3" s="1746"/>
      <c r="G3" s="1746"/>
      <c r="H3" s="1746"/>
      <c r="I3" s="1746"/>
      <c r="J3" s="1746"/>
      <c r="K3" s="1746"/>
      <c r="L3" s="1746"/>
      <c r="M3" s="1746"/>
      <c r="N3" s="1746"/>
      <c r="O3" s="1746"/>
      <c r="P3" s="1746"/>
    </row>
    <row r="4" spans="1:19" s="8" customFormat="1" ht="18" customHeight="1">
      <c r="A4" s="16" t="s">
        <v>378</v>
      </c>
      <c r="B4" s="10"/>
      <c r="C4" s="10"/>
      <c r="D4" s="10"/>
      <c r="E4" s="10"/>
      <c r="F4" s="10"/>
      <c r="G4" s="10"/>
      <c r="H4" s="10"/>
      <c r="I4" s="10"/>
      <c r="J4" s="10"/>
      <c r="K4" s="10"/>
      <c r="L4" s="10"/>
      <c r="M4" s="10"/>
      <c r="N4" s="10"/>
      <c r="O4" s="10"/>
      <c r="P4" s="10"/>
    </row>
    <row r="5" spans="1:19" ht="20.25" customHeight="1">
      <c r="A5" s="1748" t="s">
        <v>377</v>
      </c>
      <c r="B5" s="3"/>
      <c r="C5" s="3"/>
      <c r="D5" s="3"/>
      <c r="E5" s="3"/>
      <c r="F5" s="3"/>
      <c r="G5" s="3"/>
      <c r="H5" s="3"/>
      <c r="I5" s="3"/>
      <c r="J5" s="3"/>
      <c r="K5" s="3"/>
      <c r="L5" s="3"/>
      <c r="M5" s="3"/>
      <c r="N5" s="3"/>
      <c r="O5" s="3"/>
      <c r="P5" s="3"/>
    </row>
    <row r="6" spans="1:19" ht="13.7" customHeight="1">
      <c r="A6" s="8" t="s">
        <v>756</v>
      </c>
      <c r="O6" s="8"/>
      <c r="P6" s="8" t="s">
        <v>1048</v>
      </c>
    </row>
    <row r="7" spans="1:19" s="41" customFormat="1" ht="23.25" customHeight="1">
      <c r="A7" s="44"/>
      <c r="B7" s="45"/>
      <c r="C7" s="264" t="s">
        <v>795</v>
      </c>
      <c r="D7" s="40"/>
      <c r="E7" s="123"/>
      <c r="F7" s="123"/>
      <c r="G7" s="123"/>
      <c r="H7" s="1749" t="s">
        <v>796</v>
      </c>
      <c r="I7" s="1750" t="s">
        <v>1018</v>
      </c>
      <c r="J7" s="122"/>
      <c r="K7" s="123"/>
      <c r="L7" s="123"/>
      <c r="M7" s="123"/>
      <c r="N7" s="1749" t="s">
        <v>1019</v>
      </c>
      <c r="O7" s="1751"/>
      <c r="P7" s="1751"/>
    </row>
    <row r="8" spans="1:19" s="39" customFormat="1" ht="16.5" customHeight="1">
      <c r="A8" s="370" t="s">
        <v>383</v>
      </c>
      <c r="B8" s="81"/>
      <c r="D8" s="270" t="s">
        <v>504</v>
      </c>
      <c r="E8" s="270"/>
      <c r="F8" s="270" t="s">
        <v>390</v>
      </c>
      <c r="G8" s="371"/>
      <c r="I8" s="270"/>
      <c r="J8" s="270"/>
      <c r="K8" s="371" t="s">
        <v>994</v>
      </c>
      <c r="L8" s="270" t="s">
        <v>390</v>
      </c>
      <c r="M8" s="372"/>
      <c r="O8" s="63" t="s">
        <v>798</v>
      </c>
      <c r="P8" s="270" t="s">
        <v>995</v>
      </c>
    </row>
    <row r="9" spans="1:19" s="39" customFormat="1" ht="16.5" customHeight="1">
      <c r="A9" s="62" t="s">
        <v>391</v>
      </c>
      <c r="B9" s="74"/>
      <c r="C9" s="270" t="s">
        <v>436</v>
      </c>
      <c r="D9" s="271" t="s">
        <v>759</v>
      </c>
      <c r="E9" s="271" t="s">
        <v>395</v>
      </c>
      <c r="F9" s="271" t="s">
        <v>1020</v>
      </c>
      <c r="G9" s="95" t="s">
        <v>760</v>
      </c>
      <c r="H9" s="270" t="s">
        <v>1021</v>
      </c>
      <c r="I9" s="270" t="s">
        <v>436</v>
      </c>
      <c r="J9" s="79" t="s">
        <v>815</v>
      </c>
      <c r="K9" s="270" t="s">
        <v>996</v>
      </c>
      <c r="L9" s="271" t="s">
        <v>1020</v>
      </c>
      <c r="M9" s="372" t="s">
        <v>396</v>
      </c>
      <c r="N9" s="270" t="s">
        <v>386</v>
      </c>
      <c r="O9" s="270" t="s">
        <v>378</v>
      </c>
      <c r="P9" s="63" t="s">
        <v>997</v>
      </c>
    </row>
    <row r="10" spans="1:19" s="39" customFormat="1" ht="16.5" customHeight="1">
      <c r="A10" s="82"/>
      <c r="B10" s="74"/>
      <c r="C10" s="374"/>
      <c r="D10" s="107" t="s">
        <v>762</v>
      </c>
      <c r="E10" s="107" t="s">
        <v>471</v>
      </c>
      <c r="F10" s="107" t="s">
        <v>408</v>
      </c>
      <c r="G10" s="383"/>
      <c r="H10" s="228"/>
      <c r="I10" s="374"/>
      <c r="J10" s="107"/>
      <c r="K10" s="228" t="s">
        <v>1000</v>
      </c>
      <c r="L10" s="107" t="s">
        <v>408</v>
      </c>
      <c r="M10" s="375"/>
      <c r="N10" s="228"/>
      <c r="O10" s="374" t="s">
        <v>397</v>
      </c>
      <c r="P10" s="374" t="s">
        <v>1001</v>
      </c>
    </row>
    <row r="11" spans="1:19" s="39" customFormat="1" ht="16.5" customHeight="1">
      <c r="A11" s="82"/>
      <c r="B11" s="74"/>
      <c r="C11" s="374" t="s">
        <v>410</v>
      </c>
      <c r="D11" s="107" t="s">
        <v>763</v>
      </c>
      <c r="E11" s="107" t="s">
        <v>510</v>
      </c>
      <c r="F11" s="107" t="s">
        <v>415</v>
      </c>
      <c r="G11" s="107" t="s">
        <v>404</v>
      </c>
      <c r="H11" s="228" t="s">
        <v>397</v>
      </c>
      <c r="I11" s="228" t="s">
        <v>410</v>
      </c>
      <c r="J11" s="107" t="s">
        <v>763</v>
      </c>
      <c r="K11" s="63" t="s">
        <v>1005</v>
      </c>
      <c r="L11" s="107" t="s">
        <v>415</v>
      </c>
      <c r="M11" s="375" t="s">
        <v>404</v>
      </c>
      <c r="N11" s="228" t="s">
        <v>397</v>
      </c>
      <c r="O11" s="228" t="s">
        <v>377</v>
      </c>
      <c r="P11" s="228" t="s">
        <v>740</v>
      </c>
    </row>
    <row r="12" spans="1:19" s="39" customFormat="1" ht="16.5" customHeight="1">
      <c r="A12" s="87"/>
      <c r="B12" s="98"/>
      <c r="C12" s="378" t="s">
        <v>786</v>
      </c>
      <c r="D12" s="139"/>
      <c r="E12" s="379"/>
      <c r="F12" s="384"/>
      <c r="G12" s="139"/>
      <c r="H12" s="138"/>
      <c r="I12" s="138"/>
      <c r="J12" s="139"/>
      <c r="K12" s="130"/>
      <c r="L12" s="117"/>
      <c r="M12" s="139"/>
      <c r="N12" s="138"/>
      <c r="O12" s="138" t="s">
        <v>785</v>
      </c>
      <c r="P12" s="138" t="s">
        <v>1006</v>
      </c>
    </row>
    <row r="13" spans="1:19" s="306" customFormat="1" ht="20.25" customHeight="1">
      <c r="A13" s="405">
        <v>2015</v>
      </c>
      <c r="B13" s="516"/>
      <c r="C13" s="1752">
        <v>2493.2296900471383</v>
      </c>
      <c r="D13" s="1752">
        <v>9095.0999406128321</v>
      </c>
      <c r="E13" s="1752">
        <v>1022.366587295185</v>
      </c>
      <c r="F13" s="1752">
        <v>3275.1364228779848</v>
      </c>
      <c r="G13" s="1752">
        <v>748.38780354489381</v>
      </c>
      <c r="H13" s="1752">
        <v>16634.170444378033</v>
      </c>
      <c r="I13" s="1752">
        <v>2266.7927742960314</v>
      </c>
      <c r="J13" s="1752">
        <v>1084.1339149047376</v>
      </c>
      <c r="K13" s="1752">
        <v>768.69198213070138</v>
      </c>
      <c r="L13" s="1752">
        <v>4407.5056466954065</v>
      </c>
      <c r="M13" s="1753">
        <v>181.17465715515158</v>
      </c>
      <c r="N13" s="1752">
        <v>8708.2989751820296</v>
      </c>
      <c r="O13" s="1754">
        <v>25342.46941956006</v>
      </c>
      <c r="P13" s="671">
        <v>504.49199158510646</v>
      </c>
      <c r="Q13" s="321"/>
      <c r="R13" s="321"/>
      <c r="S13" s="321"/>
    </row>
    <row r="14" spans="1:19" s="408" customFormat="1" ht="14.25" customHeight="1">
      <c r="A14" s="356">
        <v>2016</v>
      </c>
      <c r="B14" s="570"/>
      <c r="C14" s="1755">
        <v>2808.1265450605624</v>
      </c>
      <c r="D14" s="1755">
        <v>9657.9580489980453</v>
      </c>
      <c r="E14" s="1756">
        <v>1543.2992124664511</v>
      </c>
      <c r="F14" s="1756">
        <v>3124.2201250677854</v>
      </c>
      <c r="G14" s="1756">
        <v>650.68248832766426</v>
      </c>
      <c r="H14" s="1756">
        <v>17784.276419920512</v>
      </c>
      <c r="I14" s="1756">
        <v>2170.6594328236256</v>
      </c>
      <c r="J14" s="1755">
        <v>1316.8800125930354</v>
      </c>
      <c r="K14" s="1756">
        <v>754.59398919997318</v>
      </c>
      <c r="L14" s="1756">
        <v>3946.7296395681483</v>
      </c>
      <c r="M14" s="1756">
        <v>317.25815851613697</v>
      </c>
      <c r="N14" s="1756">
        <v>8506.2012327009215</v>
      </c>
      <c r="O14" s="1756">
        <v>26290.47765262143</v>
      </c>
      <c r="P14" s="671">
        <v>500.0573229558936</v>
      </c>
      <c r="Q14" s="321"/>
      <c r="R14" s="321"/>
      <c r="S14" s="321"/>
    </row>
    <row r="15" spans="1:19" s="408" customFormat="1" ht="14.25" customHeight="1">
      <c r="A15" s="356">
        <v>2017</v>
      </c>
      <c r="B15" s="570"/>
      <c r="C15" s="1755">
        <v>2782.4644292720213</v>
      </c>
      <c r="D15" s="1755">
        <v>10523.743100082333</v>
      </c>
      <c r="E15" s="1756">
        <v>1449.1910483419003</v>
      </c>
      <c r="F15" s="1756">
        <v>3422.8719105847936</v>
      </c>
      <c r="G15" s="1756">
        <v>684.43174972046609</v>
      </c>
      <c r="H15" s="1756">
        <v>18862.702238001511</v>
      </c>
      <c r="I15" s="1756">
        <v>2189.6096609167271</v>
      </c>
      <c r="J15" s="1755">
        <v>1567.0330521168528</v>
      </c>
      <c r="K15" s="1756">
        <v>408.67949108830442</v>
      </c>
      <c r="L15" s="1756">
        <v>3433.0369736222387</v>
      </c>
      <c r="M15" s="1756">
        <v>284.45918301779483</v>
      </c>
      <c r="N15" s="1756">
        <v>7882.8183607619176</v>
      </c>
      <c r="O15" s="1756">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f t="shared" ref="C21:P21" si="0">C26</f>
        <v>3355.7990370976386</v>
      </c>
      <c r="D21" s="772">
        <f t="shared" si="0"/>
        <v>14516.281554268764</v>
      </c>
      <c r="E21" s="649">
        <f t="shared" si="0"/>
        <v>1019.2075178131645</v>
      </c>
      <c r="F21" s="649">
        <f t="shared" si="0"/>
        <v>3403.3167497559962</v>
      </c>
      <c r="G21" s="649">
        <f t="shared" si="0"/>
        <v>1463.3493064448742</v>
      </c>
      <c r="H21" s="649">
        <f t="shared" si="0"/>
        <v>23757.944165380439</v>
      </c>
      <c r="I21" s="649">
        <f t="shared" si="0"/>
        <v>7103.0113365120742</v>
      </c>
      <c r="J21" s="772">
        <f t="shared" si="0"/>
        <v>5105.8678003462264</v>
      </c>
      <c r="K21" s="649">
        <f t="shared" si="0"/>
        <v>857.39851003021454</v>
      </c>
      <c r="L21" s="649">
        <f t="shared" si="0"/>
        <v>555.52267761903204</v>
      </c>
      <c r="M21" s="649">
        <f t="shared" si="0"/>
        <v>854.71192167085132</v>
      </c>
      <c r="N21" s="649">
        <f t="shared" si="0"/>
        <v>14476.462246178398</v>
      </c>
      <c r="O21" s="649">
        <f t="shared" si="0"/>
        <v>38234.416411558843</v>
      </c>
      <c r="P21" s="671">
        <f t="shared" si="0"/>
        <v>454.26916329993622</v>
      </c>
    </row>
    <row r="22" spans="1:19" s="321" customFormat="1" ht="14.25" customHeight="1">
      <c r="A22" s="930">
        <v>2024</v>
      </c>
      <c r="B22" s="1025"/>
      <c r="C22" s="1026">
        <f t="shared" ref="C22:P22" si="1">C30</f>
        <v>4562.3217298076315</v>
      </c>
      <c r="D22" s="1026">
        <f t="shared" si="1"/>
        <v>19936.770069994003</v>
      </c>
      <c r="E22" s="1327">
        <f t="shared" si="1"/>
        <v>1593.563847750612</v>
      </c>
      <c r="F22" s="1027">
        <f t="shared" si="1"/>
        <v>3626.0125184576232</v>
      </c>
      <c r="G22" s="1027">
        <f t="shared" si="1"/>
        <v>1360.5001635101908</v>
      </c>
      <c r="H22" s="1027">
        <f t="shared" si="1"/>
        <v>31079.16832952006</v>
      </c>
      <c r="I22" s="1027">
        <f t="shared" si="1"/>
        <v>17736.727415640569</v>
      </c>
      <c r="J22" s="1026">
        <f t="shared" si="1"/>
        <v>7357.8589559839838</v>
      </c>
      <c r="K22" s="1027">
        <f t="shared" si="1"/>
        <v>677.02146712126023</v>
      </c>
      <c r="L22" s="1027">
        <f t="shared" si="1"/>
        <v>5799.2745308849589</v>
      </c>
      <c r="M22" s="1027">
        <f t="shared" si="1"/>
        <v>704.32554133858866</v>
      </c>
      <c r="N22" s="1027">
        <f t="shared" si="1"/>
        <v>32275.207910969362</v>
      </c>
      <c r="O22" s="1027">
        <f t="shared" si="1"/>
        <v>63354.376240489422</v>
      </c>
      <c r="P22" s="1757">
        <f t="shared" si="1"/>
        <v>7099.9859692193722</v>
      </c>
    </row>
    <row r="23" spans="1:19" s="321" customFormat="1" ht="21" customHeight="1">
      <c r="A23" s="770">
        <v>2023</v>
      </c>
      <c r="B23" s="771" t="s">
        <v>243</v>
      </c>
      <c r="C23" s="772">
        <v>3807.7931052327704</v>
      </c>
      <c r="D23" s="772">
        <v>14797.561839387743</v>
      </c>
      <c r="E23" s="649">
        <v>825.79237029053184</v>
      </c>
      <c r="F23" s="649">
        <v>3476.3990148309213</v>
      </c>
      <c r="G23" s="649">
        <v>1545.3357291813354</v>
      </c>
      <c r="H23" s="649">
        <v>24452.902058923301</v>
      </c>
      <c r="I23" s="649">
        <v>6347.9340170201667</v>
      </c>
      <c r="J23" s="772">
        <v>4434.5326023034577</v>
      </c>
      <c r="K23" s="649">
        <v>759.74048869216335</v>
      </c>
      <c r="L23" s="649">
        <v>527.55892268315779</v>
      </c>
      <c r="M23" s="649">
        <v>521.29952280994871</v>
      </c>
      <c r="N23" s="649">
        <v>12591.025553508895</v>
      </c>
      <c r="O23" s="649">
        <v>37043.927612432191</v>
      </c>
      <c r="P23" s="671">
        <v>457.28447727393615</v>
      </c>
    </row>
    <row r="24" spans="1:19" s="321" customFormat="1" ht="15">
      <c r="A24" s="770"/>
      <c r="B24" s="771" t="s">
        <v>244</v>
      </c>
      <c r="C24" s="772">
        <v>3844.7402311816713</v>
      </c>
      <c r="D24" s="772">
        <v>14960.893810591939</v>
      </c>
      <c r="E24" s="649">
        <v>971.12234517159595</v>
      </c>
      <c r="F24" s="649">
        <v>3436.4413303096976</v>
      </c>
      <c r="G24" s="649">
        <v>1528.3970339216253</v>
      </c>
      <c r="H24" s="649">
        <v>24741.544751176531</v>
      </c>
      <c r="I24" s="649">
        <v>6392.5861802289483</v>
      </c>
      <c r="J24" s="772">
        <v>4558.5849294579075</v>
      </c>
      <c r="K24" s="649">
        <v>787.72591968959387</v>
      </c>
      <c r="L24" s="649">
        <v>537.20552083974667</v>
      </c>
      <c r="M24" s="649">
        <v>642.20286572563737</v>
      </c>
      <c r="N24" s="649">
        <v>12918.33541594183</v>
      </c>
      <c r="O24" s="649">
        <v>37659.830167118358</v>
      </c>
      <c r="P24" s="671">
        <v>440.01818964772337</v>
      </c>
    </row>
    <row r="25" spans="1:19" s="321" customFormat="1" ht="15">
      <c r="A25" s="770"/>
      <c r="B25" s="771" t="s">
        <v>245</v>
      </c>
      <c r="C25" s="772">
        <v>3331.1016506595529</v>
      </c>
      <c r="D25" s="649">
        <v>14537.169214174903</v>
      </c>
      <c r="E25" s="788">
        <v>1037.1595327319685</v>
      </c>
      <c r="F25" s="649">
        <v>3549.0442215754947</v>
      </c>
      <c r="G25" s="649">
        <v>1476.5887910051763</v>
      </c>
      <c r="H25" s="649">
        <v>23931.083410147097</v>
      </c>
      <c r="I25" s="649">
        <v>7319.0990096159139</v>
      </c>
      <c r="J25" s="772">
        <v>4866.4721157257945</v>
      </c>
      <c r="K25" s="649">
        <v>745.03880490683832</v>
      </c>
      <c r="L25" s="649">
        <v>542.79803077701104</v>
      </c>
      <c r="M25" s="649">
        <v>713.23147734043505</v>
      </c>
      <c r="N25" s="649">
        <v>14186.63943836599</v>
      </c>
      <c r="O25" s="649">
        <v>38117.742848513088</v>
      </c>
      <c r="P25" s="671">
        <v>437.18354258295744</v>
      </c>
    </row>
    <row r="26" spans="1:19" s="321" customFormat="1" ht="15">
      <c r="A26" s="770"/>
      <c r="B26" s="771" t="s">
        <v>242</v>
      </c>
      <c r="C26" s="772">
        <v>3355.7990370976386</v>
      </c>
      <c r="D26" s="772">
        <v>14516.281554268764</v>
      </c>
      <c r="E26" s="649">
        <v>1019.2075178131645</v>
      </c>
      <c r="F26" s="649">
        <v>3403.3167497559962</v>
      </c>
      <c r="G26" s="649">
        <v>1463.3493064448742</v>
      </c>
      <c r="H26" s="649">
        <v>23757.944165380439</v>
      </c>
      <c r="I26" s="649">
        <v>7103.0113365120742</v>
      </c>
      <c r="J26" s="772">
        <v>5105.8678003462264</v>
      </c>
      <c r="K26" s="649">
        <v>857.39851003021454</v>
      </c>
      <c r="L26" s="649">
        <v>555.52267761903204</v>
      </c>
      <c r="M26" s="649">
        <v>854.71192167085132</v>
      </c>
      <c r="N26" s="649">
        <v>14476.462246178398</v>
      </c>
      <c r="O26" s="649">
        <v>38234.416411558843</v>
      </c>
      <c r="P26" s="671">
        <v>454.26916329993622</v>
      </c>
    </row>
    <row r="27" spans="1:19" s="321" customFormat="1" ht="21" customHeight="1">
      <c r="A27" s="770">
        <v>2024</v>
      </c>
      <c r="B27" s="771" t="s">
        <v>243</v>
      </c>
      <c r="C27" s="772">
        <f t="shared" ref="C27:P27" si="2">C34</f>
        <v>3768.0465295934455</v>
      </c>
      <c r="D27" s="772">
        <f t="shared" si="2"/>
        <v>19628.619957813018</v>
      </c>
      <c r="E27" s="649">
        <f t="shared" si="2"/>
        <v>1259.3076584294158</v>
      </c>
      <c r="F27" s="649">
        <f t="shared" si="2"/>
        <v>3477.172359248495</v>
      </c>
      <c r="G27" s="649">
        <f t="shared" si="2"/>
        <v>2292.4596735201653</v>
      </c>
      <c r="H27" s="649">
        <f t="shared" si="2"/>
        <v>30425.596178604541</v>
      </c>
      <c r="I27" s="649">
        <f t="shared" si="2"/>
        <v>15170.661941046625</v>
      </c>
      <c r="J27" s="772">
        <f t="shared" si="2"/>
        <v>7618.6097136344424</v>
      </c>
      <c r="K27" s="649">
        <f t="shared" si="2"/>
        <v>998.94133749830019</v>
      </c>
      <c r="L27" s="649">
        <f t="shared" si="2"/>
        <v>5772.0794292221726</v>
      </c>
      <c r="M27" s="649">
        <f t="shared" si="2"/>
        <v>1016.5953573243465</v>
      </c>
      <c r="N27" s="649">
        <f t="shared" si="2"/>
        <v>30576.88777872589</v>
      </c>
      <c r="O27" s="649">
        <f t="shared" si="2"/>
        <v>61002.483957330434</v>
      </c>
      <c r="P27" s="671">
        <f t="shared" si="2"/>
        <v>4735.035073834064</v>
      </c>
    </row>
    <row r="28" spans="1:19" s="321" customFormat="1" ht="15" customHeight="1">
      <c r="A28" s="770"/>
      <c r="B28" s="771" t="s">
        <v>244</v>
      </c>
      <c r="C28" s="772">
        <f t="shared" ref="C28:P28" si="3">C37</f>
        <v>4223.3182859601202</v>
      </c>
      <c r="D28" s="772">
        <f t="shared" si="3"/>
        <v>19905.569637026336</v>
      </c>
      <c r="E28" s="649">
        <f t="shared" si="3"/>
        <v>1355.893866060133</v>
      </c>
      <c r="F28" s="649">
        <f t="shared" si="3"/>
        <v>3370.5225278299172</v>
      </c>
      <c r="G28" s="649">
        <f t="shared" si="3"/>
        <v>1598.7243011239507</v>
      </c>
      <c r="H28" s="649">
        <f t="shared" si="3"/>
        <v>30454.028618000462</v>
      </c>
      <c r="I28" s="649">
        <f t="shared" si="3"/>
        <v>16546.460251607063</v>
      </c>
      <c r="J28" s="772">
        <f t="shared" si="3"/>
        <v>7771.5684879357323</v>
      </c>
      <c r="K28" s="649">
        <f t="shared" si="3"/>
        <v>628.95118638307463</v>
      </c>
      <c r="L28" s="649">
        <f t="shared" si="3"/>
        <v>5192.2041104544796</v>
      </c>
      <c r="M28" s="649">
        <f t="shared" si="3"/>
        <v>1109.5008843083958</v>
      </c>
      <c r="N28" s="649">
        <f t="shared" si="3"/>
        <v>31248.754920688742</v>
      </c>
      <c r="O28" s="649">
        <f t="shared" si="3"/>
        <v>61702.783538689204</v>
      </c>
      <c r="P28" s="671">
        <f t="shared" si="3"/>
        <v>5853.5287673456805</v>
      </c>
    </row>
    <row r="29" spans="1:19" s="321" customFormat="1" ht="15" customHeight="1">
      <c r="A29" s="770"/>
      <c r="B29" s="771" t="s">
        <v>245</v>
      </c>
      <c r="C29" s="772">
        <f t="shared" ref="C29:P29" si="4">C40</f>
        <v>4602.3040107294382</v>
      </c>
      <c r="D29" s="772">
        <f t="shared" si="4"/>
        <v>20377.4300162459</v>
      </c>
      <c r="E29" s="649">
        <f t="shared" si="4"/>
        <v>1588.5648083490692</v>
      </c>
      <c r="F29" s="649">
        <f t="shared" si="4"/>
        <v>3477.5340150437787</v>
      </c>
      <c r="G29" s="649">
        <f t="shared" si="4"/>
        <v>1759.5522010900063</v>
      </c>
      <c r="H29" s="649">
        <f t="shared" si="4"/>
        <v>31805.385051458194</v>
      </c>
      <c r="I29" s="649">
        <f t="shared" si="4"/>
        <v>15479.084720333196</v>
      </c>
      <c r="J29" s="772">
        <f t="shared" si="4"/>
        <v>7366.0241449047335</v>
      </c>
      <c r="K29" s="649">
        <f t="shared" si="4"/>
        <v>706.70281009499172</v>
      </c>
      <c r="L29" s="649">
        <f t="shared" si="4"/>
        <v>5416.440257044088</v>
      </c>
      <c r="M29" s="649">
        <f t="shared" si="4"/>
        <v>1536.8574827639441</v>
      </c>
      <c r="N29" s="649">
        <f t="shared" si="4"/>
        <v>30505.10941514096</v>
      </c>
      <c r="O29" s="649">
        <f t="shared" si="4"/>
        <v>62310.494466599135</v>
      </c>
      <c r="P29" s="671">
        <f t="shared" si="4"/>
        <v>5986.1897349339097</v>
      </c>
    </row>
    <row r="30" spans="1:19" s="321" customFormat="1" ht="15" customHeight="1">
      <c r="A30" s="930"/>
      <c r="B30" s="1025" t="s">
        <v>242</v>
      </c>
      <c r="C30" s="1026">
        <f t="shared" ref="C30:P30" si="5">C43</f>
        <v>4562.3217298076315</v>
      </c>
      <c r="D30" s="1026">
        <f t="shared" si="5"/>
        <v>19936.770069994003</v>
      </c>
      <c r="E30" s="1027">
        <f t="shared" si="5"/>
        <v>1593.563847750612</v>
      </c>
      <c r="F30" s="1027">
        <f t="shared" si="5"/>
        <v>3626.0125184576232</v>
      </c>
      <c r="G30" s="1027">
        <f t="shared" si="5"/>
        <v>1360.5001635101908</v>
      </c>
      <c r="H30" s="1027">
        <f t="shared" si="5"/>
        <v>31079.16832952006</v>
      </c>
      <c r="I30" s="1027">
        <f t="shared" si="5"/>
        <v>17736.727415640569</v>
      </c>
      <c r="J30" s="1026">
        <f t="shared" si="5"/>
        <v>7357.8589559839838</v>
      </c>
      <c r="K30" s="1027">
        <f t="shared" si="5"/>
        <v>677.02146712126023</v>
      </c>
      <c r="L30" s="1027">
        <f t="shared" si="5"/>
        <v>5799.2745308849589</v>
      </c>
      <c r="M30" s="1027">
        <f t="shared" si="5"/>
        <v>704.32554133858866</v>
      </c>
      <c r="N30" s="1027">
        <f t="shared" si="5"/>
        <v>32275.207910969362</v>
      </c>
      <c r="O30" s="1027">
        <f t="shared" si="5"/>
        <v>63354.376240489422</v>
      </c>
      <c r="P30" s="1757">
        <f t="shared" si="5"/>
        <v>7099.9859692193722</v>
      </c>
    </row>
    <row r="31" spans="1:19" s="321" customFormat="1" ht="21" customHeight="1">
      <c r="A31" s="770">
        <v>2023</v>
      </c>
      <c r="B31" s="771" t="s">
        <v>426</v>
      </c>
      <c r="C31" s="772">
        <v>3355.7990370976386</v>
      </c>
      <c r="D31" s="772">
        <v>14516.281554268764</v>
      </c>
      <c r="E31" s="649">
        <v>1019.2075178131645</v>
      </c>
      <c r="F31" s="649">
        <v>3403.3167497559962</v>
      </c>
      <c r="G31" s="649">
        <v>1463.3493064448742</v>
      </c>
      <c r="H31" s="649">
        <v>23757.944165380439</v>
      </c>
      <c r="I31" s="649">
        <v>7103.0113365120742</v>
      </c>
      <c r="J31" s="772">
        <v>5105.8678003462264</v>
      </c>
      <c r="K31" s="649">
        <v>857.39851003021454</v>
      </c>
      <c r="L31" s="649">
        <v>555.52267761903204</v>
      </c>
      <c r="M31" s="649">
        <v>854.71192167085132</v>
      </c>
      <c r="N31" s="649">
        <v>14476.462246178398</v>
      </c>
      <c r="O31" s="649">
        <v>38234.416411558843</v>
      </c>
      <c r="P31" s="671">
        <v>454.26916329993622</v>
      </c>
      <c r="Q31" s="793"/>
      <c r="R31" s="793"/>
      <c r="S31" s="793"/>
    </row>
    <row r="32" spans="1:19" s="321" customFormat="1" ht="21" customHeight="1">
      <c r="A32" s="770">
        <v>2024</v>
      </c>
      <c r="B32" s="771" t="s">
        <v>427</v>
      </c>
      <c r="C32" s="772">
        <v>3838.0127662907894</v>
      </c>
      <c r="D32" s="772">
        <v>20020.664832949642</v>
      </c>
      <c r="E32" s="649">
        <v>1233.2405302074203</v>
      </c>
      <c r="F32" s="649">
        <v>3595.1900745261205</v>
      </c>
      <c r="G32" s="649">
        <v>1972.9701708685466</v>
      </c>
      <c r="H32" s="649">
        <v>30660.098374842521</v>
      </c>
      <c r="I32" s="649">
        <v>15699.591220878961</v>
      </c>
      <c r="J32" s="772">
        <v>7355.6035754477143</v>
      </c>
      <c r="K32" s="649">
        <v>1002.4646956369962</v>
      </c>
      <c r="L32" s="649">
        <v>5727.1491612806949</v>
      </c>
      <c r="M32" s="649">
        <v>1120.5441924109775</v>
      </c>
      <c r="N32" s="649">
        <v>30905.342845655345</v>
      </c>
      <c r="O32" s="649">
        <v>61565.44122049788</v>
      </c>
      <c r="P32" s="671">
        <v>5804.7436119138883</v>
      </c>
      <c r="Q32" s="793"/>
      <c r="R32" s="793"/>
      <c r="S32" s="793"/>
    </row>
    <row r="33" spans="1:19" s="321" customFormat="1" ht="16.5" customHeight="1">
      <c r="A33" s="770"/>
      <c r="B33" s="771" t="s">
        <v>416</v>
      </c>
      <c r="C33" s="772">
        <v>3727.4360535258952</v>
      </c>
      <c r="D33" s="772">
        <v>19801.418189888969</v>
      </c>
      <c r="E33" s="649">
        <v>1341.7286281960905</v>
      </c>
      <c r="F33" s="649">
        <v>3627.2020396748235</v>
      </c>
      <c r="G33" s="649">
        <v>2254.6310789397535</v>
      </c>
      <c r="H33" s="649">
        <v>30752.315990225536</v>
      </c>
      <c r="I33" s="649">
        <v>15946.92158883837</v>
      </c>
      <c r="J33" s="772">
        <v>7130.6363476718061</v>
      </c>
      <c r="K33" s="649">
        <v>1046.6045726615016</v>
      </c>
      <c r="L33" s="649">
        <v>5923.4023054413874</v>
      </c>
      <c r="M33" s="649">
        <v>1054.5159860106342</v>
      </c>
      <c r="N33" s="649">
        <v>31102.030800623703</v>
      </c>
      <c r="O33" s="649">
        <v>61854.296790849228</v>
      </c>
      <c r="P33" s="671">
        <v>5075.0200349844235</v>
      </c>
      <c r="Q33" s="793"/>
      <c r="R33" s="793"/>
      <c r="S33" s="793"/>
    </row>
    <row r="34" spans="1:19" s="321" customFormat="1" ht="16.5" customHeight="1">
      <c r="A34" s="770"/>
      <c r="B34" s="771" t="s">
        <v>417</v>
      </c>
      <c r="C34" s="772">
        <v>3768.0465295934455</v>
      </c>
      <c r="D34" s="772">
        <v>19628.619957813018</v>
      </c>
      <c r="E34" s="649">
        <v>1259.3076584294158</v>
      </c>
      <c r="F34" s="649">
        <v>3477.172359248495</v>
      </c>
      <c r="G34" s="649">
        <v>2292.4596735201653</v>
      </c>
      <c r="H34" s="649">
        <v>30425.596178604541</v>
      </c>
      <c r="I34" s="649">
        <v>15170.661941046625</v>
      </c>
      <c r="J34" s="772">
        <v>7618.6097136344424</v>
      </c>
      <c r="K34" s="649">
        <v>998.94133749830019</v>
      </c>
      <c r="L34" s="649">
        <v>5772.0794292221726</v>
      </c>
      <c r="M34" s="649">
        <v>1016.5953573243465</v>
      </c>
      <c r="N34" s="649">
        <v>30576.88777872589</v>
      </c>
      <c r="O34" s="649">
        <v>61002.483957330434</v>
      </c>
      <c r="P34" s="671">
        <v>4735.035073834064</v>
      </c>
      <c r="Q34" s="793"/>
      <c r="R34" s="793"/>
      <c r="S34" s="793"/>
    </row>
    <row r="35" spans="1:19" s="321" customFormat="1" ht="16.5" customHeight="1">
      <c r="A35" s="770"/>
      <c r="B35" s="771" t="s">
        <v>418</v>
      </c>
      <c r="C35" s="772">
        <v>4073.4516344101921</v>
      </c>
      <c r="D35" s="772">
        <v>19617.119749942125</v>
      </c>
      <c r="E35" s="649">
        <v>1354.0513450174744</v>
      </c>
      <c r="F35" s="649">
        <v>3407.2396886182842</v>
      </c>
      <c r="G35" s="649">
        <v>1696.9078518860492</v>
      </c>
      <c r="H35" s="649">
        <v>30148.770269874127</v>
      </c>
      <c r="I35" s="649">
        <v>16120.098557697527</v>
      </c>
      <c r="J35" s="772">
        <v>7656.2897109499381</v>
      </c>
      <c r="K35" s="649">
        <v>1162.4482260773952</v>
      </c>
      <c r="L35" s="649">
        <v>5758.1694981969849</v>
      </c>
      <c r="M35" s="649">
        <v>1088.7207313383349</v>
      </c>
      <c r="N35" s="649">
        <v>31785.746724260185</v>
      </c>
      <c r="O35" s="649">
        <v>61934.516994134305</v>
      </c>
      <c r="P35" s="671">
        <v>5732.4755067406704</v>
      </c>
      <c r="Q35" s="793"/>
      <c r="R35" s="793"/>
      <c r="S35" s="793"/>
    </row>
    <row r="36" spans="1:19" s="321" customFormat="1" ht="16.5" customHeight="1">
      <c r="A36" s="770"/>
      <c r="B36" s="771" t="s">
        <v>419</v>
      </c>
      <c r="C36" s="772">
        <v>4005.4865459428061</v>
      </c>
      <c r="D36" s="772">
        <v>19545.186651156971</v>
      </c>
      <c r="E36" s="649">
        <v>1357.6028100022345</v>
      </c>
      <c r="F36" s="649">
        <v>3384.1511952958881</v>
      </c>
      <c r="G36" s="649">
        <v>1601.4585732229295</v>
      </c>
      <c r="H36" s="649">
        <v>29893.975775620835</v>
      </c>
      <c r="I36" s="649">
        <v>16486.520544936171</v>
      </c>
      <c r="J36" s="772">
        <v>9098.7919347268089</v>
      </c>
      <c r="K36" s="649">
        <v>628.95118638307463</v>
      </c>
      <c r="L36" s="649">
        <v>5373.6751978199518</v>
      </c>
      <c r="M36" s="649">
        <v>1097.1691926316155</v>
      </c>
      <c r="N36" s="649">
        <v>32685.158056497621</v>
      </c>
      <c r="O36" s="649">
        <v>62579.18383211844</v>
      </c>
      <c r="P36" s="671">
        <v>5818.8211660895022</v>
      </c>
      <c r="Q36" s="793"/>
      <c r="R36" s="793"/>
      <c r="S36" s="793"/>
    </row>
    <row r="37" spans="1:19" s="321" customFormat="1" ht="16.5" customHeight="1">
      <c r="A37" s="770"/>
      <c r="B37" s="771" t="s">
        <v>420</v>
      </c>
      <c r="C37" s="772">
        <v>4223.3182859601202</v>
      </c>
      <c r="D37" s="772">
        <v>19905.569637026336</v>
      </c>
      <c r="E37" s="649">
        <v>1355.893866060133</v>
      </c>
      <c r="F37" s="649">
        <v>3370.5225278299172</v>
      </c>
      <c r="G37" s="649">
        <v>1598.7243011239507</v>
      </c>
      <c r="H37" s="649">
        <v>30454.028618000462</v>
      </c>
      <c r="I37" s="649">
        <v>16546.460251607063</v>
      </c>
      <c r="J37" s="772">
        <v>7771.5684879357323</v>
      </c>
      <c r="K37" s="649">
        <v>628.95118638307463</v>
      </c>
      <c r="L37" s="649">
        <v>5192.2041104544796</v>
      </c>
      <c r="M37" s="649">
        <v>1109.5008843083958</v>
      </c>
      <c r="N37" s="649">
        <v>31248.754920688742</v>
      </c>
      <c r="O37" s="649">
        <v>61702.783538689204</v>
      </c>
      <c r="P37" s="671">
        <v>5853.5287673456805</v>
      </c>
      <c r="Q37" s="793"/>
      <c r="R37" s="793"/>
      <c r="S37" s="793"/>
    </row>
    <row r="38" spans="1:19" s="321" customFormat="1" ht="16.5" customHeight="1">
      <c r="A38" s="770"/>
      <c r="B38" s="771" t="s">
        <v>421</v>
      </c>
      <c r="C38" s="772">
        <v>4461.7292225995316</v>
      </c>
      <c r="D38" s="772">
        <v>20012.194643523675</v>
      </c>
      <c r="E38" s="649">
        <v>1463.4673598253994</v>
      </c>
      <c r="F38" s="649">
        <v>3431.6089261756492</v>
      </c>
      <c r="G38" s="649">
        <v>1688.866297239598</v>
      </c>
      <c r="H38" s="649">
        <v>31057.866449363857</v>
      </c>
      <c r="I38" s="649">
        <v>16076.159100147532</v>
      </c>
      <c r="J38" s="772">
        <v>7840.9025512620647</v>
      </c>
      <c r="K38" s="649">
        <v>591.04023614528353</v>
      </c>
      <c r="L38" s="649">
        <v>5272.7632596453004</v>
      </c>
      <c r="M38" s="649">
        <v>1220.2809783837463</v>
      </c>
      <c r="N38" s="649">
        <v>31001.166125583921</v>
      </c>
      <c r="O38" s="649">
        <v>62059.082574947774</v>
      </c>
      <c r="P38" s="671">
        <v>5742.1110820313452</v>
      </c>
      <c r="Q38" s="793"/>
      <c r="R38" s="793"/>
      <c r="S38" s="793"/>
    </row>
    <row r="39" spans="1:19" s="321" customFormat="1" ht="16.5" customHeight="1">
      <c r="A39" s="770"/>
      <c r="B39" s="771" t="s">
        <v>422</v>
      </c>
      <c r="C39" s="772">
        <v>4645.4731404053327</v>
      </c>
      <c r="D39" s="772">
        <v>19733.071651463993</v>
      </c>
      <c r="E39" s="649">
        <v>1546.4842428988034</v>
      </c>
      <c r="F39" s="649">
        <v>3385.4407050582677</v>
      </c>
      <c r="G39" s="649">
        <v>1645.990230075</v>
      </c>
      <c r="H39" s="649">
        <v>30956.459969901385</v>
      </c>
      <c r="I39" s="649">
        <v>15592.657290672001</v>
      </c>
      <c r="J39" s="772">
        <v>7853.0866571889928</v>
      </c>
      <c r="K39" s="649">
        <v>569.74177656602626</v>
      </c>
      <c r="L39" s="649">
        <v>5304.0065045455667</v>
      </c>
      <c r="M39" s="649">
        <v>1212.390149213506</v>
      </c>
      <c r="N39" s="649">
        <v>30531.892378186098</v>
      </c>
      <c r="O39" s="649">
        <v>61488.352348087486</v>
      </c>
      <c r="P39" s="671">
        <v>5416.1084403319301</v>
      </c>
      <c r="Q39" s="793"/>
      <c r="R39" s="793"/>
      <c r="S39" s="793"/>
    </row>
    <row r="40" spans="1:19" s="321" customFormat="1" ht="16.5" customHeight="1">
      <c r="A40" s="770"/>
      <c r="B40" s="771" t="s">
        <v>423</v>
      </c>
      <c r="C40" s="772">
        <v>4602.3040107294382</v>
      </c>
      <c r="D40" s="772">
        <v>20377.4300162459</v>
      </c>
      <c r="E40" s="649">
        <v>1588.5648083490692</v>
      </c>
      <c r="F40" s="649">
        <v>3477.5340150437787</v>
      </c>
      <c r="G40" s="649">
        <v>1759.5522010900063</v>
      </c>
      <c r="H40" s="649">
        <v>31805.385051458194</v>
      </c>
      <c r="I40" s="649">
        <v>15479.084720333196</v>
      </c>
      <c r="J40" s="772">
        <v>7366.0241449047335</v>
      </c>
      <c r="K40" s="649">
        <v>706.70281009499172</v>
      </c>
      <c r="L40" s="649">
        <v>5416.440257044088</v>
      </c>
      <c r="M40" s="649">
        <v>1536.8574827639441</v>
      </c>
      <c r="N40" s="649">
        <v>30505.10941514096</v>
      </c>
      <c r="O40" s="649">
        <v>62310.494466599135</v>
      </c>
      <c r="P40" s="671">
        <v>5986.1897349339097</v>
      </c>
      <c r="Q40" s="793"/>
      <c r="R40" s="793"/>
      <c r="S40" s="793"/>
    </row>
    <row r="41" spans="1:19" s="321" customFormat="1" ht="16.5" customHeight="1">
      <c r="A41" s="770"/>
      <c r="B41" s="771" t="s">
        <v>424</v>
      </c>
      <c r="C41" s="772">
        <v>5165.4757064355572</v>
      </c>
      <c r="D41" s="772">
        <v>20206.295018978337</v>
      </c>
      <c r="E41" s="649">
        <v>1579.9026828468882</v>
      </c>
      <c r="F41" s="649">
        <v>3615.2431828480958</v>
      </c>
      <c r="G41" s="649">
        <v>1342.6554212741003</v>
      </c>
      <c r="H41" s="649">
        <v>31909.552012382985</v>
      </c>
      <c r="I41" s="649">
        <v>17045.796656985578</v>
      </c>
      <c r="J41" s="772">
        <v>7490.2481588103201</v>
      </c>
      <c r="K41" s="649">
        <v>546.72698602157845</v>
      </c>
      <c r="L41" s="649">
        <v>5446.7411117219544</v>
      </c>
      <c r="M41" s="649">
        <v>189.35546256897345</v>
      </c>
      <c r="N41" s="649">
        <v>30718.838376108404</v>
      </c>
      <c r="O41" s="649">
        <v>62628.410388491378</v>
      </c>
      <c r="P41" s="671">
        <v>7040.0789156776218</v>
      </c>
      <c r="Q41" s="793"/>
      <c r="R41" s="793"/>
      <c r="S41" s="793"/>
    </row>
    <row r="42" spans="1:19" s="321" customFormat="1" ht="16.5" customHeight="1">
      <c r="A42" s="770"/>
      <c r="B42" s="771" t="s">
        <v>425</v>
      </c>
      <c r="C42" s="772">
        <v>5154.315801932511</v>
      </c>
      <c r="D42" s="772">
        <v>19903.576667016943</v>
      </c>
      <c r="E42" s="649">
        <v>1565.5937779292815</v>
      </c>
      <c r="F42" s="649">
        <v>3589.1400313752119</v>
      </c>
      <c r="G42" s="649">
        <v>1427.4210742087826</v>
      </c>
      <c r="H42" s="649">
        <v>31640.037352462728</v>
      </c>
      <c r="I42" s="649">
        <v>17299.316330517577</v>
      </c>
      <c r="J42" s="772">
        <v>7597.5672824259482</v>
      </c>
      <c r="K42" s="649">
        <v>593.82420116454932</v>
      </c>
      <c r="L42" s="649">
        <v>5690.9565774414878</v>
      </c>
      <c r="M42" s="649">
        <v>223.50647596299584</v>
      </c>
      <c r="N42" s="649">
        <v>31405.170867512559</v>
      </c>
      <c r="O42" s="649">
        <v>63045.238219975276</v>
      </c>
      <c r="P42" s="671">
        <v>7542.0863282668142</v>
      </c>
      <c r="Q42" s="793"/>
      <c r="R42" s="793"/>
      <c r="S42" s="793"/>
    </row>
    <row r="43" spans="1:19" s="321" customFormat="1" ht="16.5" customHeight="1">
      <c r="A43" s="770"/>
      <c r="B43" s="771" t="s">
        <v>426</v>
      </c>
      <c r="C43" s="772">
        <v>4562.3217298076315</v>
      </c>
      <c r="D43" s="772">
        <v>19936.770069994003</v>
      </c>
      <c r="E43" s="649">
        <v>1593.563847750612</v>
      </c>
      <c r="F43" s="649">
        <v>3626.0125184576232</v>
      </c>
      <c r="G43" s="649">
        <v>1360.5001635101908</v>
      </c>
      <c r="H43" s="649">
        <v>31079.16832952006</v>
      </c>
      <c r="I43" s="649">
        <v>17736.727415640569</v>
      </c>
      <c r="J43" s="772">
        <v>7357.8589559839838</v>
      </c>
      <c r="K43" s="649">
        <v>677.02146712126023</v>
      </c>
      <c r="L43" s="649">
        <v>5799.2745308849589</v>
      </c>
      <c r="M43" s="649">
        <v>704.32554133858866</v>
      </c>
      <c r="N43" s="649">
        <v>32275.207910969362</v>
      </c>
      <c r="O43" s="649">
        <v>63354.376240489422</v>
      </c>
      <c r="P43" s="671">
        <v>7099.9859692193722</v>
      </c>
      <c r="Q43" s="793"/>
      <c r="R43" s="793"/>
      <c r="S43" s="793"/>
    </row>
    <row r="44" spans="1:19" ht="19.5" customHeight="1">
      <c r="A44" s="380" t="s">
        <v>1007</v>
      </c>
      <c r="B44" s="220"/>
      <c r="C44" s="220"/>
      <c r="D44" s="220"/>
      <c r="E44" s="220"/>
      <c r="F44" s="220"/>
      <c r="G44" s="220"/>
      <c r="H44" s="220"/>
      <c r="I44" s="220"/>
      <c r="J44" s="220"/>
      <c r="K44" s="220"/>
      <c r="L44" s="220"/>
      <c r="M44" s="220"/>
      <c r="N44" s="220"/>
      <c r="O44" s="745"/>
      <c r="P44" s="745" t="s">
        <v>1008</v>
      </c>
    </row>
    <row r="45" spans="1:19" ht="14.25">
      <c r="A45" s="381" t="s">
        <v>1009</v>
      </c>
      <c r="J45" s="789"/>
      <c r="O45" s="755"/>
      <c r="P45" s="755" t="s">
        <v>1010</v>
      </c>
    </row>
    <row r="46" spans="1:19">
      <c r="A46" s="381" t="s">
        <v>1011</v>
      </c>
      <c r="O46" s="755"/>
      <c r="P46" s="755" t="s">
        <v>1012</v>
      </c>
    </row>
    <row r="48" spans="1:19">
      <c r="A48" s="382" t="s">
        <v>1049</v>
      </c>
      <c r="B48" s="3"/>
      <c r="C48" s="3"/>
      <c r="D48" s="3"/>
      <c r="E48" s="3"/>
      <c r="F48" s="3"/>
      <c r="G48" s="3"/>
      <c r="H48" s="3"/>
      <c r="I48" s="3"/>
      <c r="J48" s="3"/>
      <c r="K48" s="3"/>
      <c r="L48" s="3"/>
      <c r="M48" s="3"/>
      <c r="N48" s="3"/>
      <c r="O48" s="3"/>
      <c r="P48" s="3"/>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6" activePane="bottomLeft" state="frozen"/>
      <selection activeCell="B12" sqref="B12"/>
      <selection pane="bottomLeft" activeCell="Q41" sqref="Q41"/>
    </sheetView>
  </sheetViews>
  <sheetFormatPr defaultColWidth="9.140625" defaultRowHeight="12.75"/>
  <cols>
    <col min="1" max="2" width="9.7109375" style="381" customWidth="1"/>
    <col min="3" max="3" width="12.7109375" style="381" customWidth="1"/>
    <col min="4" max="4" width="10.28515625" style="381" customWidth="1"/>
    <col min="5" max="5" width="12.7109375" style="381" customWidth="1"/>
    <col min="6" max="6" width="11.7109375" style="381" customWidth="1"/>
    <col min="7" max="8" width="10.7109375" style="381" customWidth="1"/>
    <col min="9" max="9" width="10.28515625" style="381" customWidth="1"/>
    <col min="10" max="10" width="11.85546875" style="381" customWidth="1"/>
    <col min="11" max="11" width="12.7109375" style="381" customWidth="1"/>
    <col min="12" max="12" width="10.28515625" style="381" customWidth="1"/>
    <col min="13" max="13" width="12.7109375" style="381" customWidth="1"/>
    <col min="14" max="14" width="11.7109375" style="381" customWidth="1"/>
    <col min="15" max="16" width="10.7109375" style="381" customWidth="1"/>
    <col min="17" max="17" width="10.28515625" style="381" customWidth="1"/>
    <col min="18" max="18" width="8.28515625" style="381" customWidth="1"/>
    <col min="19" max="16384" width="9.140625" style="381"/>
  </cols>
  <sheetData>
    <row r="1" spans="1:21" ht="18">
      <c r="A1" s="277" t="s">
        <v>1760</v>
      </c>
      <c r="B1" s="1740"/>
      <c r="C1" s="1740"/>
      <c r="D1" s="1740"/>
      <c r="E1" s="1740"/>
      <c r="F1" s="1740"/>
      <c r="G1" s="1740"/>
      <c r="H1" s="1740"/>
      <c r="I1" s="1740"/>
      <c r="J1" s="1740"/>
      <c r="K1" s="1740"/>
      <c r="L1" s="1740"/>
      <c r="M1" s="1740"/>
      <c r="N1" s="1740"/>
      <c r="O1" s="1740"/>
      <c r="P1" s="1740"/>
      <c r="Q1" s="1740"/>
    </row>
    <row r="2" spans="1:21" ht="18">
      <c r="A2" s="1744" t="s">
        <v>1050</v>
      </c>
      <c r="B2" s="1740"/>
      <c r="C2" s="1740"/>
      <c r="D2" s="1740"/>
      <c r="E2" s="1740"/>
      <c r="F2" s="1740"/>
      <c r="G2" s="1740"/>
      <c r="H2" s="1740"/>
      <c r="I2" s="1740"/>
      <c r="J2" s="1740"/>
      <c r="K2" s="1740"/>
      <c r="L2" s="1740"/>
      <c r="M2" s="1740"/>
      <c r="N2" s="1740"/>
      <c r="O2" s="1740"/>
      <c r="P2" s="1740"/>
      <c r="Q2" s="1740"/>
    </row>
    <row r="3" spans="1:21" ht="18">
      <c r="A3" s="1741" t="s">
        <v>1051</v>
      </c>
      <c r="B3" s="1740"/>
      <c r="C3" s="1740"/>
      <c r="D3" s="1740"/>
      <c r="E3" s="1740"/>
      <c r="F3" s="1740"/>
      <c r="G3" s="1740"/>
      <c r="H3" s="1740"/>
      <c r="I3" s="1740"/>
      <c r="J3" s="1740"/>
      <c r="K3" s="1740"/>
      <c r="L3" s="1740"/>
      <c r="M3" s="1740"/>
      <c r="N3" s="1740"/>
      <c r="O3" s="382"/>
      <c r="P3" s="1740"/>
      <c r="Q3" s="1740"/>
    </row>
    <row r="4" spans="1:21" s="306" customFormat="1" ht="14.25">
      <c r="A4" s="306" t="s">
        <v>756</v>
      </c>
      <c r="B4" s="319"/>
      <c r="Q4" s="1446" t="s">
        <v>757</v>
      </c>
    </row>
    <row r="5" spans="1:21" s="306" customFormat="1" ht="14.25" hidden="1">
      <c r="B5" s="319"/>
      <c r="Q5" s="1446"/>
    </row>
    <row r="6" spans="1:21" s="306" customFormat="1" ht="14.25" hidden="1">
      <c r="B6" s="319"/>
      <c r="Q6" s="1446"/>
    </row>
    <row r="7" spans="1:21" s="306" customFormat="1" ht="14.25" hidden="1">
      <c r="B7" s="319"/>
      <c r="Q7" s="1446"/>
    </row>
    <row r="8" spans="1:21"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1" s="176" customFormat="1" ht="18" customHeight="1">
      <c r="A9" s="175"/>
      <c r="C9" s="191" t="s">
        <v>772</v>
      </c>
      <c r="D9" s="182" t="s">
        <v>919</v>
      </c>
      <c r="E9" s="177" t="s">
        <v>920</v>
      </c>
      <c r="F9" s="166"/>
      <c r="G9" s="177"/>
      <c r="H9" s="166"/>
      <c r="I9" s="177"/>
      <c r="J9" s="193"/>
      <c r="K9" s="182" t="s">
        <v>772</v>
      </c>
      <c r="L9" s="182" t="s">
        <v>919</v>
      </c>
      <c r="M9" s="177" t="s">
        <v>920</v>
      </c>
      <c r="N9" s="166"/>
      <c r="O9" s="177"/>
      <c r="P9" s="166"/>
      <c r="Q9" s="177"/>
    </row>
    <row r="10" spans="1:21" s="176" customFormat="1" ht="18" customHeight="1">
      <c r="A10" s="163" t="s">
        <v>383</v>
      </c>
      <c r="B10" s="165"/>
      <c r="C10" s="182" t="s">
        <v>921</v>
      </c>
      <c r="D10" s="182" t="s">
        <v>922</v>
      </c>
      <c r="E10" s="177" t="s">
        <v>505</v>
      </c>
      <c r="F10" s="162" t="s">
        <v>923</v>
      </c>
      <c r="G10" s="177" t="s">
        <v>924</v>
      </c>
      <c r="H10" s="177" t="s">
        <v>925</v>
      </c>
      <c r="I10" s="177" t="s">
        <v>396</v>
      </c>
      <c r="J10" s="193" t="s">
        <v>386</v>
      </c>
      <c r="K10" s="182" t="s">
        <v>921</v>
      </c>
      <c r="L10" s="182" t="s">
        <v>922</v>
      </c>
      <c r="M10" s="177" t="s">
        <v>505</v>
      </c>
      <c r="N10" s="162" t="s">
        <v>923</v>
      </c>
      <c r="O10" s="177" t="s">
        <v>924</v>
      </c>
      <c r="P10" s="177" t="s">
        <v>925</v>
      </c>
      <c r="Q10" s="177" t="s">
        <v>396</v>
      </c>
    </row>
    <row r="11" spans="1:21" s="164" customFormat="1" ht="18" customHeight="1">
      <c r="A11" s="178" t="s">
        <v>391</v>
      </c>
      <c r="B11" s="165"/>
      <c r="C11" s="254" t="s">
        <v>926</v>
      </c>
      <c r="D11" s="256" t="s">
        <v>927</v>
      </c>
      <c r="E11" s="257" t="s">
        <v>928</v>
      </c>
      <c r="F11" s="258" t="s">
        <v>929</v>
      </c>
      <c r="G11" s="258" t="s">
        <v>930</v>
      </c>
      <c r="H11" s="258" t="s">
        <v>931</v>
      </c>
      <c r="I11" s="258" t="s">
        <v>404</v>
      </c>
      <c r="J11" s="259" t="s">
        <v>397</v>
      </c>
      <c r="K11" s="254" t="s">
        <v>926</v>
      </c>
      <c r="L11" s="256" t="s">
        <v>927</v>
      </c>
      <c r="M11" s="260" t="s">
        <v>928</v>
      </c>
      <c r="N11" s="258" t="s">
        <v>929</v>
      </c>
      <c r="O11" s="258" t="s">
        <v>930</v>
      </c>
      <c r="P11" s="258" t="s">
        <v>931</v>
      </c>
      <c r="Q11" s="258" t="s">
        <v>404</v>
      </c>
    </row>
    <row r="12" spans="1:21" s="164" customFormat="1" ht="18" customHeight="1">
      <c r="A12" s="179"/>
      <c r="B12" s="170"/>
      <c r="C12" s="255" t="s">
        <v>932</v>
      </c>
      <c r="D12" s="255"/>
      <c r="E12" s="261" t="s">
        <v>933</v>
      </c>
      <c r="F12" s="262" t="s">
        <v>785</v>
      </c>
      <c r="G12" s="262"/>
      <c r="H12" s="262"/>
      <c r="I12" s="262"/>
      <c r="J12" s="263"/>
      <c r="K12" s="255" t="s">
        <v>932</v>
      </c>
      <c r="L12" s="255"/>
      <c r="M12" s="262" t="s">
        <v>933</v>
      </c>
      <c r="N12" s="262" t="s">
        <v>785</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4"/>
    </row>
    <row r="14" spans="1:21" s="1024"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4"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4"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4"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4"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4"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4"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4" customFormat="1" ht="17.25" customHeight="1">
      <c r="A21" s="873">
        <v>2023</v>
      </c>
      <c r="B21" s="874"/>
      <c r="C21" s="385">
        <f t="shared" ref="C21:Q21" si="0">C26</f>
        <v>28245.0958159697</v>
      </c>
      <c r="D21" s="385">
        <f t="shared" si="0"/>
        <v>3654.1317282963441</v>
      </c>
      <c r="E21" s="385">
        <f t="shared" si="0"/>
        <v>946.22078191032858</v>
      </c>
      <c r="F21" s="385">
        <f t="shared" si="0"/>
        <v>3668.5918989521219</v>
      </c>
      <c r="G21" s="385">
        <f t="shared" si="0"/>
        <v>1545.1655927968395</v>
      </c>
      <c r="H21" s="385">
        <f t="shared" si="0"/>
        <v>147.93438408348715</v>
      </c>
      <c r="I21" s="385">
        <f t="shared" si="0"/>
        <v>27.262403103729884</v>
      </c>
      <c r="J21" s="653">
        <f t="shared" si="0"/>
        <v>38234.382605112551</v>
      </c>
      <c r="K21" s="385">
        <f t="shared" si="0"/>
        <v>23757.932858925506</v>
      </c>
      <c r="L21" s="385">
        <f t="shared" si="0"/>
        <v>9031.3945705547521</v>
      </c>
      <c r="M21" s="385">
        <f t="shared" si="0"/>
        <v>1533.2130792050843</v>
      </c>
      <c r="N21" s="385">
        <f t="shared" si="0"/>
        <v>1292.485231204681</v>
      </c>
      <c r="O21" s="385">
        <f t="shared" si="0"/>
        <v>1953.4846860099246</v>
      </c>
      <c r="P21" s="385">
        <f t="shared" si="0"/>
        <v>618.073442214235</v>
      </c>
      <c r="Q21" s="386">
        <f t="shared" si="0"/>
        <v>47.798736998374807</v>
      </c>
      <c r="R21" s="352"/>
      <c r="S21" s="352"/>
      <c r="U21" s="180"/>
    </row>
    <row r="22" spans="1:21" s="1024" customFormat="1" ht="18" customHeight="1">
      <c r="A22" s="1019">
        <v>2024</v>
      </c>
      <c r="B22" s="1020"/>
      <c r="C22" s="1021">
        <f t="shared" ref="C22:Q22" si="1">C30</f>
        <v>35666.166580377969</v>
      </c>
      <c r="D22" s="1021">
        <f t="shared" si="1"/>
        <v>11908.69736138275</v>
      </c>
      <c r="E22" s="1326">
        <f t="shared" si="1"/>
        <v>2607.6842712068897</v>
      </c>
      <c r="F22" s="1021">
        <f t="shared" si="1"/>
        <v>6975.4494418132863</v>
      </c>
      <c r="G22" s="1021">
        <f t="shared" si="1"/>
        <v>4415.5863569453668</v>
      </c>
      <c r="H22" s="1021">
        <f t="shared" si="1"/>
        <v>1380.0864249703741</v>
      </c>
      <c r="I22" s="1021">
        <f t="shared" si="1"/>
        <v>400.72818193368875</v>
      </c>
      <c r="J22" s="1023">
        <f t="shared" si="1"/>
        <v>63354.448618630326</v>
      </c>
      <c r="K22" s="1021">
        <f t="shared" si="1"/>
        <v>31079.174129476036</v>
      </c>
      <c r="L22" s="1021">
        <f t="shared" si="1"/>
        <v>17838.281410897907</v>
      </c>
      <c r="M22" s="1021">
        <f t="shared" si="1"/>
        <v>3718.7411874902173</v>
      </c>
      <c r="N22" s="1021">
        <f t="shared" si="1"/>
        <v>2488.9286083254688</v>
      </c>
      <c r="O22" s="1021">
        <f t="shared" si="1"/>
        <v>6574.8407911432851</v>
      </c>
      <c r="P22" s="1021">
        <f t="shared" si="1"/>
        <v>1529.9598550351161</v>
      </c>
      <c r="Q22" s="1022">
        <f t="shared" si="1"/>
        <v>124.52263626229251</v>
      </c>
      <c r="R22" s="352"/>
      <c r="S22" s="352"/>
      <c r="U22" s="180"/>
    </row>
    <row r="23" spans="1:21" s="1024" customFormat="1" ht="21" customHeight="1">
      <c r="A23" s="873">
        <v>2023</v>
      </c>
      <c r="B23" s="874" t="s">
        <v>243</v>
      </c>
      <c r="C23" s="385">
        <v>27547.223773473877</v>
      </c>
      <c r="D23" s="385">
        <v>3828.4588259935394</v>
      </c>
      <c r="E23" s="385">
        <v>783.7009683762717</v>
      </c>
      <c r="F23" s="385">
        <v>2995.7042262062205</v>
      </c>
      <c r="G23" s="385">
        <v>1574.6952977573005</v>
      </c>
      <c r="H23" s="385">
        <v>229.77715966135958</v>
      </c>
      <c r="I23" s="385">
        <v>84.308141071836872</v>
      </c>
      <c r="J23" s="653">
        <v>37043.868392540404</v>
      </c>
      <c r="K23" s="385">
        <v>24452.854465080753</v>
      </c>
      <c r="L23" s="385">
        <v>7448.2808527627321</v>
      </c>
      <c r="M23" s="385">
        <v>1435.4213525010171</v>
      </c>
      <c r="N23" s="385">
        <v>1244.3430678758937</v>
      </c>
      <c r="O23" s="385">
        <v>1786.9503749812145</v>
      </c>
      <c r="P23" s="385">
        <v>608.03811207395563</v>
      </c>
      <c r="Q23" s="386">
        <v>67.98016726483911</v>
      </c>
      <c r="R23" s="352"/>
      <c r="S23" s="352"/>
      <c r="U23" s="180"/>
    </row>
    <row r="24" spans="1:21" s="1024" customFormat="1" ht="16.5" customHeight="1">
      <c r="A24" s="873"/>
      <c r="B24" s="874" t="s">
        <v>244</v>
      </c>
      <c r="C24" s="385">
        <v>27938.82098912503</v>
      </c>
      <c r="D24" s="385">
        <v>3483.3034967692161</v>
      </c>
      <c r="E24" s="385">
        <v>825.77417191922746</v>
      </c>
      <c r="F24" s="385">
        <v>3485.4992321564841</v>
      </c>
      <c r="G24" s="385">
        <v>1668.6977978717678</v>
      </c>
      <c r="H24" s="385">
        <v>168.03452736962305</v>
      </c>
      <c r="I24" s="385">
        <v>89.657840217896151</v>
      </c>
      <c r="J24" s="653">
        <v>37659.768055429246</v>
      </c>
      <c r="K24" s="385">
        <v>24741.528239380459</v>
      </c>
      <c r="L24" s="385">
        <v>7667.0577468602805</v>
      </c>
      <c r="M24" s="385">
        <v>1303.4277622471</v>
      </c>
      <c r="N24" s="385">
        <v>1379.6606377261064</v>
      </c>
      <c r="O24" s="385">
        <v>1904.9239289922461</v>
      </c>
      <c r="P24" s="385">
        <v>589.97401764476695</v>
      </c>
      <c r="Q24" s="386">
        <v>73.19572257828986</v>
      </c>
      <c r="R24" s="352"/>
      <c r="S24" s="352"/>
      <c r="U24" s="180"/>
    </row>
    <row r="25" spans="1:21" s="1024" customFormat="1" ht="16.5" customHeight="1">
      <c r="A25" s="873"/>
      <c r="B25" s="874" t="s">
        <v>245</v>
      </c>
      <c r="C25" s="385">
        <v>28428.797733680498</v>
      </c>
      <c r="D25" s="386">
        <v>3415.8829225193804</v>
      </c>
      <c r="E25" s="663">
        <v>874.90859702377031</v>
      </c>
      <c r="F25" s="385">
        <v>3835.138292879345</v>
      </c>
      <c r="G25" s="385">
        <v>1378.0032925067612</v>
      </c>
      <c r="H25" s="385">
        <v>168.22206925991634</v>
      </c>
      <c r="I25" s="385">
        <v>16.75786511336948</v>
      </c>
      <c r="J25" s="653">
        <v>38117.690772983042</v>
      </c>
      <c r="K25" s="385">
        <v>23931.055822466107</v>
      </c>
      <c r="L25" s="385">
        <v>8983.8045064981488</v>
      </c>
      <c r="M25" s="385">
        <v>1227.9964457775941</v>
      </c>
      <c r="N25" s="385">
        <v>1524.9704322359999</v>
      </c>
      <c r="O25" s="385">
        <v>1793.8034668650503</v>
      </c>
      <c r="P25" s="385">
        <v>605.44193291338399</v>
      </c>
      <c r="Q25" s="386">
        <v>50.618166226762696</v>
      </c>
      <c r="R25" s="352"/>
      <c r="S25" s="352"/>
      <c r="U25" s="180"/>
    </row>
    <row r="26" spans="1:21" s="1024" customFormat="1" ht="16.5" customHeight="1">
      <c r="A26" s="873"/>
      <c r="B26" s="874" t="s">
        <v>242</v>
      </c>
      <c r="C26" s="385">
        <v>28245.0958159697</v>
      </c>
      <c r="D26" s="385">
        <v>3654.1317282963441</v>
      </c>
      <c r="E26" s="385">
        <v>946.22078191032858</v>
      </c>
      <c r="F26" s="385">
        <v>3668.5918989521219</v>
      </c>
      <c r="G26" s="385">
        <v>1545.1655927968395</v>
      </c>
      <c r="H26" s="385">
        <v>147.93438408348715</v>
      </c>
      <c r="I26" s="385">
        <v>27.262403103729884</v>
      </c>
      <c r="J26" s="653">
        <v>38234.382605112551</v>
      </c>
      <c r="K26" s="385">
        <v>23757.932858925506</v>
      </c>
      <c r="L26" s="385">
        <v>9031.3945705547521</v>
      </c>
      <c r="M26" s="385">
        <v>1533.2130792050843</v>
      </c>
      <c r="N26" s="385">
        <v>1292.485231204681</v>
      </c>
      <c r="O26" s="385">
        <v>1953.4846860099246</v>
      </c>
      <c r="P26" s="385">
        <v>618.073442214235</v>
      </c>
      <c r="Q26" s="386">
        <v>47.798736998374807</v>
      </c>
      <c r="R26" s="352"/>
      <c r="S26" s="352"/>
      <c r="U26" s="180"/>
    </row>
    <row r="27" spans="1:21" s="1024" customFormat="1" ht="21" customHeight="1">
      <c r="A27" s="873">
        <v>2024</v>
      </c>
      <c r="B27" s="874" t="s">
        <v>243</v>
      </c>
      <c r="C27" s="385">
        <f t="shared" ref="C27:Q27" si="2">C34</f>
        <v>34666.117652379624</v>
      </c>
      <c r="D27" s="385">
        <f t="shared" si="2"/>
        <v>11972.677706350474</v>
      </c>
      <c r="E27" s="385">
        <f t="shared" si="2"/>
        <v>1982.4920029486655</v>
      </c>
      <c r="F27" s="385">
        <f t="shared" si="2"/>
        <v>6160.6115596882828</v>
      </c>
      <c r="G27" s="385">
        <f t="shared" si="2"/>
        <v>4470.5520120760675</v>
      </c>
      <c r="H27" s="385">
        <f t="shared" si="2"/>
        <v>1331.3271713793179</v>
      </c>
      <c r="I27" s="385">
        <f t="shared" si="2"/>
        <v>418.67332501282363</v>
      </c>
      <c r="J27" s="653">
        <f t="shared" si="2"/>
        <v>61002.451429835259</v>
      </c>
      <c r="K27" s="385">
        <f t="shared" si="2"/>
        <v>30425.559677098099</v>
      </c>
      <c r="L27" s="385">
        <f t="shared" si="2"/>
        <v>18029.627682271297</v>
      </c>
      <c r="M27" s="385">
        <f t="shared" si="2"/>
        <v>3012.3460695605713</v>
      </c>
      <c r="N27" s="385">
        <f t="shared" si="2"/>
        <v>2319.0639383782054</v>
      </c>
      <c r="O27" s="385">
        <f t="shared" si="2"/>
        <v>5502.1709422253271</v>
      </c>
      <c r="P27" s="385">
        <f t="shared" si="2"/>
        <v>1610.5696843821459</v>
      </c>
      <c r="Q27" s="386">
        <f t="shared" si="2"/>
        <v>103.11343591962213</v>
      </c>
      <c r="R27" s="352"/>
      <c r="S27" s="352"/>
      <c r="U27" s="180"/>
    </row>
    <row r="28" spans="1:21" s="1024" customFormat="1" ht="16.5" customHeight="1">
      <c r="A28" s="873"/>
      <c r="B28" s="874" t="s">
        <v>244</v>
      </c>
      <c r="C28" s="385">
        <f t="shared" ref="C28:Q28" si="3">C37</f>
        <v>35460.243678652703</v>
      </c>
      <c r="D28" s="385">
        <f t="shared" si="3"/>
        <v>11891.612024044454</v>
      </c>
      <c r="E28" s="385">
        <f t="shared" si="3"/>
        <v>1836.0142459775482</v>
      </c>
      <c r="F28" s="385">
        <f t="shared" si="3"/>
        <v>6244.3511943905069</v>
      </c>
      <c r="G28" s="385">
        <f t="shared" si="3"/>
        <v>4128.8513751869232</v>
      </c>
      <c r="H28" s="385">
        <f t="shared" si="3"/>
        <v>1749.2186659528086</v>
      </c>
      <c r="I28" s="385">
        <f t="shared" si="3"/>
        <v>392.46893136623112</v>
      </c>
      <c r="J28" s="653">
        <f t="shared" si="3"/>
        <v>61702.760115571175</v>
      </c>
      <c r="K28" s="385">
        <f t="shared" si="3"/>
        <v>30453.955270576014</v>
      </c>
      <c r="L28" s="385">
        <f t="shared" si="3"/>
        <v>18773.685402320225</v>
      </c>
      <c r="M28" s="385">
        <f t="shared" si="3"/>
        <v>2886.6784358674927</v>
      </c>
      <c r="N28" s="385">
        <f t="shared" si="3"/>
        <v>2047.3349171350796</v>
      </c>
      <c r="O28" s="385">
        <f t="shared" si="3"/>
        <v>5800.20535743654</v>
      </c>
      <c r="P28" s="385">
        <f t="shared" si="3"/>
        <v>1646.8727144520622</v>
      </c>
      <c r="Q28" s="386">
        <f t="shared" si="3"/>
        <v>94.028017783763062</v>
      </c>
      <c r="R28" s="352"/>
      <c r="S28" s="352"/>
      <c r="U28" s="180"/>
    </row>
    <row r="29" spans="1:21" s="1024" customFormat="1" ht="16.5" customHeight="1">
      <c r="A29" s="873"/>
      <c r="B29" s="874" t="s">
        <v>245</v>
      </c>
      <c r="C29" s="385">
        <f t="shared" ref="C29:Q29" si="4">C40</f>
        <v>35935.192611948165</v>
      </c>
      <c r="D29" s="385">
        <f t="shared" si="4"/>
        <v>11831.157568871629</v>
      </c>
      <c r="E29" s="385">
        <f t="shared" si="4"/>
        <v>1984.0156293004084</v>
      </c>
      <c r="F29" s="385">
        <f t="shared" si="4"/>
        <v>6993.0955797329907</v>
      </c>
      <c r="G29" s="385">
        <f t="shared" si="4"/>
        <v>4056.836924852124</v>
      </c>
      <c r="H29" s="385">
        <f t="shared" si="4"/>
        <v>1134.541586639052</v>
      </c>
      <c r="I29" s="385">
        <f t="shared" si="4"/>
        <v>375.66465723191618</v>
      </c>
      <c r="J29" s="653">
        <f t="shared" si="4"/>
        <v>62310.474558576287</v>
      </c>
      <c r="K29" s="385">
        <f t="shared" si="4"/>
        <v>31805.392807007731</v>
      </c>
      <c r="L29" s="385">
        <f t="shared" si="4"/>
        <v>17919.954757575197</v>
      </c>
      <c r="M29" s="385">
        <f t="shared" si="4"/>
        <v>3212.9328598095494</v>
      </c>
      <c r="N29" s="385">
        <f t="shared" si="4"/>
        <v>1988.1036626044652</v>
      </c>
      <c r="O29" s="385">
        <f t="shared" si="4"/>
        <v>5713.9812263077029</v>
      </c>
      <c r="P29" s="385">
        <f t="shared" si="4"/>
        <v>1603.3455707081632</v>
      </c>
      <c r="Q29" s="386">
        <f t="shared" si="4"/>
        <v>66.763674563466338</v>
      </c>
      <c r="R29" s="352"/>
      <c r="S29" s="352"/>
      <c r="U29" s="180"/>
    </row>
    <row r="30" spans="1:21" s="1024" customFormat="1" ht="16.5" customHeight="1">
      <c r="A30" s="1019"/>
      <c r="B30" s="1020" t="s">
        <v>242</v>
      </c>
      <c r="C30" s="1021">
        <f t="shared" ref="C30:Q30" si="5">C43</f>
        <v>35666.166580377969</v>
      </c>
      <c r="D30" s="1021">
        <f t="shared" si="5"/>
        <v>11908.69736138275</v>
      </c>
      <c r="E30" s="1021">
        <f t="shared" si="5"/>
        <v>2607.6842712068897</v>
      </c>
      <c r="F30" s="1021">
        <f t="shared" si="5"/>
        <v>6975.4494418132863</v>
      </c>
      <c r="G30" s="1021">
        <f t="shared" si="5"/>
        <v>4415.5863569453668</v>
      </c>
      <c r="H30" s="1021">
        <f t="shared" si="5"/>
        <v>1380.0864249703741</v>
      </c>
      <c r="I30" s="1021">
        <f t="shared" si="5"/>
        <v>400.72818193368875</v>
      </c>
      <c r="J30" s="1023">
        <f t="shared" si="5"/>
        <v>63354.448618630326</v>
      </c>
      <c r="K30" s="1021">
        <f t="shared" si="5"/>
        <v>31079.174129476036</v>
      </c>
      <c r="L30" s="1021">
        <f t="shared" si="5"/>
        <v>17838.281410897907</v>
      </c>
      <c r="M30" s="1021">
        <f t="shared" si="5"/>
        <v>3718.7411874902173</v>
      </c>
      <c r="N30" s="1021">
        <f t="shared" si="5"/>
        <v>2488.9286083254688</v>
      </c>
      <c r="O30" s="1021">
        <f t="shared" si="5"/>
        <v>6574.8407911432851</v>
      </c>
      <c r="P30" s="1021">
        <f t="shared" si="5"/>
        <v>1529.9598550351161</v>
      </c>
      <c r="Q30" s="1022">
        <f t="shared" si="5"/>
        <v>124.52263626229251</v>
      </c>
      <c r="R30" s="352"/>
      <c r="S30" s="352"/>
      <c r="U30" s="180"/>
    </row>
    <row r="31" spans="1:21" s="148" customFormat="1" ht="21" customHeight="1">
      <c r="A31" s="872">
        <v>2023</v>
      </c>
      <c r="B31" s="440" t="s">
        <v>426</v>
      </c>
      <c r="C31" s="385">
        <v>28245.0958159697</v>
      </c>
      <c r="D31" s="385">
        <v>3654.1317282963441</v>
      </c>
      <c r="E31" s="385">
        <v>946.22078191032858</v>
      </c>
      <c r="F31" s="385">
        <v>3668.5918989521219</v>
      </c>
      <c r="G31" s="385">
        <v>1545.1655927968395</v>
      </c>
      <c r="H31" s="385">
        <v>147.93438408348715</v>
      </c>
      <c r="I31" s="386">
        <v>27.262403103729884</v>
      </c>
      <c r="J31" s="653">
        <v>38234.382605112551</v>
      </c>
      <c r="K31" s="385">
        <v>23757.932858925506</v>
      </c>
      <c r="L31" s="385">
        <v>9031.3945705547521</v>
      </c>
      <c r="M31" s="385">
        <v>1533.2130792050843</v>
      </c>
      <c r="N31" s="385">
        <v>1292.485231204681</v>
      </c>
      <c r="O31" s="385">
        <v>1953.4846860099246</v>
      </c>
      <c r="P31" s="385">
        <v>618.073442214235</v>
      </c>
      <c r="Q31" s="386">
        <v>47.798736998374807</v>
      </c>
      <c r="R31" s="352"/>
      <c r="S31" s="352"/>
    </row>
    <row r="32" spans="1:21" s="148" customFormat="1" ht="21" customHeight="1">
      <c r="A32" s="872">
        <v>2024</v>
      </c>
      <c r="B32" s="440" t="s">
        <v>427</v>
      </c>
      <c r="C32" s="385">
        <v>35076.420183090129</v>
      </c>
      <c r="D32" s="385">
        <v>12023.389210796016</v>
      </c>
      <c r="E32" s="385">
        <v>2041.9616120731584</v>
      </c>
      <c r="F32" s="385">
        <v>5803.9154549701643</v>
      </c>
      <c r="G32" s="385">
        <v>4610.6754958640231</v>
      </c>
      <c r="H32" s="385">
        <v>1571.5764282458404</v>
      </c>
      <c r="I32" s="386">
        <f t="shared" ref="I32:I37" si="6">$J32-SUM(C32:H32)</f>
        <v>437.44518328035338</v>
      </c>
      <c r="J32" s="653">
        <v>61565.383568319681</v>
      </c>
      <c r="K32" s="385">
        <v>30660.106075613621</v>
      </c>
      <c r="L32" s="385">
        <v>17470.181138733515</v>
      </c>
      <c r="M32" s="385">
        <v>3447.6314138419843</v>
      </c>
      <c r="N32" s="385">
        <v>2334.5216913263134</v>
      </c>
      <c r="O32" s="385">
        <v>5976.0376009461479</v>
      </c>
      <c r="P32" s="385">
        <v>1605.0623812703334</v>
      </c>
      <c r="Q32" s="386">
        <f>$J32-SUM(K32:P32)+0.02</f>
        <v>71.8632665877699</v>
      </c>
      <c r="R32" s="352"/>
      <c r="S32" s="352"/>
    </row>
    <row r="33" spans="1:19" s="148" customFormat="1" ht="16.5" customHeight="1">
      <c r="A33" s="872"/>
      <c r="B33" s="440" t="s">
        <v>416</v>
      </c>
      <c r="C33" s="385">
        <v>34676.186004455056</v>
      </c>
      <c r="D33" s="385">
        <v>12221.833143502456</v>
      </c>
      <c r="E33" s="385">
        <v>2153.7661377778363</v>
      </c>
      <c r="F33" s="385">
        <v>6486.8408847819446</v>
      </c>
      <c r="G33" s="385">
        <v>4558.4683301061559</v>
      </c>
      <c r="H33" s="385">
        <v>1331.238551650318</v>
      </c>
      <c r="I33" s="386">
        <f t="shared" si="6"/>
        <v>426.01367650009342</v>
      </c>
      <c r="J33" s="653">
        <v>61854.346728773868</v>
      </c>
      <c r="K33" s="385">
        <v>30752.338459676073</v>
      </c>
      <c r="L33" s="385">
        <v>18425.01865383282</v>
      </c>
      <c r="M33" s="385">
        <v>3048.1051762183088</v>
      </c>
      <c r="N33" s="385">
        <v>2341.895057267061</v>
      </c>
      <c r="O33" s="385">
        <v>5593.6193094100145</v>
      </c>
      <c r="P33" s="385">
        <v>1593.5042295339135</v>
      </c>
      <c r="Q33" s="386">
        <f t="shared" ref="Q33:Q38" si="7">$J33-SUM(K33:P33)</f>
        <v>99.865842835672083</v>
      </c>
      <c r="R33" s="352"/>
      <c r="S33" s="352"/>
    </row>
    <row r="34" spans="1:19" s="148" customFormat="1" ht="16.5" customHeight="1">
      <c r="A34" s="872"/>
      <c r="B34" s="440" t="s">
        <v>417</v>
      </c>
      <c r="C34" s="385">
        <v>34666.117652379624</v>
      </c>
      <c r="D34" s="385">
        <v>11972.677706350474</v>
      </c>
      <c r="E34" s="385">
        <v>1982.4920029486655</v>
      </c>
      <c r="F34" s="385">
        <v>6160.6115596882828</v>
      </c>
      <c r="G34" s="385">
        <v>4470.5520120760675</v>
      </c>
      <c r="H34" s="385">
        <v>1331.3271713793179</v>
      </c>
      <c r="I34" s="386">
        <f t="shared" si="6"/>
        <v>418.67332501282363</v>
      </c>
      <c r="J34" s="653">
        <v>61002.451429835259</v>
      </c>
      <c r="K34" s="385">
        <v>30425.559677098099</v>
      </c>
      <c r="L34" s="385">
        <v>18029.627682271297</v>
      </c>
      <c r="M34" s="385">
        <v>3012.3460695605713</v>
      </c>
      <c r="N34" s="385">
        <v>2319.0639383782054</v>
      </c>
      <c r="O34" s="385">
        <v>5502.1709422253271</v>
      </c>
      <c r="P34" s="385">
        <v>1610.5696843821459</v>
      </c>
      <c r="Q34" s="386">
        <f t="shared" si="7"/>
        <v>103.11343591962213</v>
      </c>
      <c r="R34" s="352"/>
      <c r="S34" s="352"/>
    </row>
    <row r="35" spans="1:19" s="148" customFormat="1" ht="16.5" customHeight="1">
      <c r="A35" s="872"/>
      <c r="B35" s="440" t="s">
        <v>418</v>
      </c>
      <c r="C35" s="385">
        <v>35219.48797127256</v>
      </c>
      <c r="D35" s="385">
        <v>11713.834607864737</v>
      </c>
      <c r="E35" s="385">
        <v>1941.5064775705303</v>
      </c>
      <c r="F35" s="385">
        <v>6851.0605709159609</v>
      </c>
      <c r="G35" s="385">
        <v>4519.0505586909203</v>
      </c>
      <c r="H35" s="385">
        <v>1274.7440704061614</v>
      </c>
      <c r="I35" s="386">
        <f t="shared" si="6"/>
        <v>414.77930609201576</v>
      </c>
      <c r="J35" s="653">
        <v>61934.463562812889</v>
      </c>
      <c r="K35" s="385">
        <v>30148.758057191324</v>
      </c>
      <c r="L35" s="385">
        <v>18782.442147547416</v>
      </c>
      <c r="M35" s="385">
        <v>3115.2810914257566</v>
      </c>
      <c r="N35" s="385">
        <v>2367.3631506330803</v>
      </c>
      <c r="O35" s="385">
        <v>5800.1833137098311</v>
      </c>
      <c r="P35" s="385">
        <v>1614.5120078177788</v>
      </c>
      <c r="Q35" s="386">
        <f t="shared" si="7"/>
        <v>105.92379448770953</v>
      </c>
      <c r="R35" s="352"/>
      <c r="S35" s="352"/>
    </row>
    <row r="36" spans="1:19" s="148" customFormat="1" ht="16.5" customHeight="1">
      <c r="A36" s="872"/>
      <c r="B36" s="440" t="s">
        <v>419</v>
      </c>
      <c r="C36" s="385">
        <v>35118.999057380352</v>
      </c>
      <c r="D36" s="385">
        <v>11829.689666295406</v>
      </c>
      <c r="E36" s="385">
        <v>1820.0888685633756</v>
      </c>
      <c r="F36" s="385">
        <v>7115.3316200426852</v>
      </c>
      <c r="G36" s="385">
        <v>4858.132814180155</v>
      </c>
      <c r="H36" s="385">
        <v>1431.5610237670874</v>
      </c>
      <c r="I36" s="386">
        <f t="shared" si="6"/>
        <v>405.39792594766914</v>
      </c>
      <c r="J36" s="653">
        <v>62579.200976176733</v>
      </c>
      <c r="K36" s="385">
        <v>29893.981617374648</v>
      </c>
      <c r="L36" s="385">
        <v>19789.683414045474</v>
      </c>
      <c r="M36" s="385">
        <v>3066.0190976229319</v>
      </c>
      <c r="N36" s="385">
        <v>2297.8239429958799</v>
      </c>
      <c r="O36" s="385">
        <v>5817.8471418896124</v>
      </c>
      <c r="P36" s="385">
        <v>1621.7776688027127</v>
      </c>
      <c r="Q36" s="386">
        <f t="shared" si="7"/>
        <v>92.06809344546491</v>
      </c>
      <c r="R36" s="352"/>
      <c r="S36" s="352"/>
    </row>
    <row r="37" spans="1:19" s="148" customFormat="1" ht="16.5" customHeight="1">
      <c r="A37" s="872"/>
      <c r="B37" s="440" t="s">
        <v>420</v>
      </c>
      <c r="C37" s="385">
        <v>35460.243678652703</v>
      </c>
      <c r="D37" s="385">
        <v>11891.612024044454</v>
      </c>
      <c r="E37" s="385">
        <v>1836.0142459775482</v>
      </c>
      <c r="F37" s="385">
        <v>6244.3511943905069</v>
      </c>
      <c r="G37" s="385">
        <v>4128.8513751869232</v>
      </c>
      <c r="H37" s="385">
        <v>1749.2186659528086</v>
      </c>
      <c r="I37" s="386">
        <f t="shared" si="6"/>
        <v>392.46893136623112</v>
      </c>
      <c r="J37" s="653">
        <v>61702.760115571175</v>
      </c>
      <c r="K37" s="385">
        <v>30453.955270576014</v>
      </c>
      <c r="L37" s="385">
        <v>18773.685402320225</v>
      </c>
      <c r="M37" s="385">
        <v>2886.6784358674927</v>
      </c>
      <c r="N37" s="385">
        <v>2047.3349171350796</v>
      </c>
      <c r="O37" s="385">
        <v>5800.20535743654</v>
      </c>
      <c r="P37" s="385">
        <v>1646.8727144520622</v>
      </c>
      <c r="Q37" s="386">
        <f t="shared" si="7"/>
        <v>94.028017783763062</v>
      </c>
      <c r="R37" s="352"/>
      <c r="S37" s="352"/>
    </row>
    <row r="38" spans="1:19" s="148" customFormat="1" ht="16.5" customHeight="1">
      <c r="A38" s="872"/>
      <c r="B38" s="440" t="s">
        <v>421</v>
      </c>
      <c r="C38" s="385">
        <v>35984.264353087143</v>
      </c>
      <c r="D38" s="385">
        <v>11810.62117677596</v>
      </c>
      <c r="E38" s="385">
        <v>1901.9631086480963</v>
      </c>
      <c r="F38" s="385">
        <v>6751.1710814985327</v>
      </c>
      <c r="G38" s="385">
        <v>3944.043166564511</v>
      </c>
      <c r="H38" s="385">
        <v>1278.6850048583046</v>
      </c>
      <c r="I38" s="386">
        <f t="shared" ref="I38" si="8">$J38-SUM(C38:H38)</f>
        <v>388.32417890155921</v>
      </c>
      <c r="J38" s="653">
        <v>62059.072070334107</v>
      </c>
      <c r="K38" s="385">
        <v>31057.90324497921</v>
      </c>
      <c r="L38" s="385">
        <v>18564.164398243342</v>
      </c>
      <c r="M38" s="385">
        <v>3009.3497778237006</v>
      </c>
      <c r="N38" s="385">
        <v>1927.3013088714788</v>
      </c>
      <c r="O38" s="385">
        <v>5751.6748047295951</v>
      </c>
      <c r="P38" s="385">
        <v>1637.681368195942</v>
      </c>
      <c r="Q38" s="386">
        <f t="shared" si="7"/>
        <v>110.99716749083746</v>
      </c>
      <c r="R38" s="352"/>
      <c r="S38" s="352"/>
    </row>
    <row r="39" spans="1:19" s="148" customFormat="1" ht="16.5" customHeight="1">
      <c r="A39" s="872"/>
      <c r="B39" s="440" t="s">
        <v>422</v>
      </c>
      <c r="C39" s="385">
        <v>35637.460156251771</v>
      </c>
      <c r="D39" s="385">
        <v>11921.062356644383</v>
      </c>
      <c r="E39" s="385">
        <v>1856.2466290802731</v>
      </c>
      <c r="F39" s="385">
        <v>6746.9188815065399</v>
      </c>
      <c r="G39" s="385">
        <v>3848.6740234128301</v>
      </c>
      <c r="H39" s="385">
        <v>1093.4056816046293</v>
      </c>
      <c r="I39" s="386">
        <f t="shared" ref="I39" si="9">$J39-SUM(C39:H39)</f>
        <v>384.61442541898577</v>
      </c>
      <c r="J39" s="653">
        <v>61488.382153919418</v>
      </c>
      <c r="K39" s="385">
        <v>30956.535134477486</v>
      </c>
      <c r="L39" s="385">
        <v>18286.370192323157</v>
      </c>
      <c r="M39" s="385">
        <v>2961.3529760377387</v>
      </c>
      <c r="N39" s="385">
        <v>1918.7391709699573</v>
      </c>
      <c r="O39" s="385">
        <v>5628.8832872571611</v>
      </c>
      <c r="P39" s="385">
        <v>1629.0895277353231</v>
      </c>
      <c r="Q39" s="386">
        <f t="shared" ref="Q39" si="10">$J39-SUM(K39:P39)</f>
        <v>107.41186511859269</v>
      </c>
      <c r="R39" s="352"/>
      <c r="S39" s="352"/>
    </row>
    <row r="40" spans="1:19" s="148" customFormat="1" ht="16.5" customHeight="1">
      <c r="A40" s="872"/>
      <c r="B40" s="440" t="s">
        <v>423</v>
      </c>
      <c r="C40" s="385">
        <v>35935.192611948165</v>
      </c>
      <c r="D40" s="385">
        <v>11831.157568871629</v>
      </c>
      <c r="E40" s="385">
        <v>1984.0156293004084</v>
      </c>
      <c r="F40" s="385">
        <v>6993.0955797329907</v>
      </c>
      <c r="G40" s="385">
        <v>4056.836924852124</v>
      </c>
      <c r="H40" s="385">
        <v>1134.541586639052</v>
      </c>
      <c r="I40" s="386">
        <f>$J40-SUM(C40:H40)+0.03</f>
        <v>375.66465723191618</v>
      </c>
      <c r="J40" s="653">
        <v>62310.474558576287</v>
      </c>
      <c r="K40" s="385">
        <v>31805.392807007731</v>
      </c>
      <c r="L40" s="385">
        <v>17919.954757575197</v>
      </c>
      <c r="M40" s="385">
        <v>3212.9328598095494</v>
      </c>
      <c r="N40" s="385">
        <v>1988.1036626044652</v>
      </c>
      <c r="O40" s="385">
        <v>5713.9812263077029</v>
      </c>
      <c r="P40" s="385">
        <v>1603.3455707081632</v>
      </c>
      <c r="Q40" s="386">
        <f t="shared" ref="Q40" si="11">$J40-SUM(K40:P40)</f>
        <v>66.763674563466338</v>
      </c>
      <c r="R40" s="352"/>
      <c r="S40" s="352"/>
    </row>
    <row r="41" spans="1:19" s="148" customFormat="1" ht="16.5" customHeight="1">
      <c r="A41" s="872"/>
      <c r="B41" s="440" t="s">
        <v>424</v>
      </c>
      <c r="C41" s="385">
        <v>36187.960838818341</v>
      </c>
      <c r="D41" s="385">
        <v>11605.779639706165</v>
      </c>
      <c r="E41" s="385">
        <v>1885.5230067100219</v>
      </c>
      <c r="F41" s="385">
        <v>7296.9708981002868</v>
      </c>
      <c r="G41" s="385">
        <v>4131.0902095315741</v>
      </c>
      <c r="H41" s="385">
        <v>1154.2852558972443</v>
      </c>
      <c r="I41" s="386">
        <f>$J41-SUM(C41:H41)-0.1</f>
        <v>366.728402704632</v>
      </c>
      <c r="J41" s="653">
        <v>62628.438251468258</v>
      </c>
      <c r="K41" s="385">
        <v>31909.57820067132</v>
      </c>
      <c r="L41" s="385">
        <v>18346.04696171606</v>
      </c>
      <c r="M41" s="385">
        <v>3059.0897930887013</v>
      </c>
      <c r="N41" s="385">
        <v>1884.7599421043556</v>
      </c>
      <c r="O41" s="385">
        <v>5800.6815779802191</v>
      </c>
      <c r="P41" s="385">
        <v>1554.2443264134743</v>
      </c>
      <c r="Q41" s="386">
        <f>$J41-SUM(K41:P41)-0.02</f>
        <v>74.017449494127945</v>
      </c>
      <c r="R41" s="352"/>
      <c r="S41" s="352"/>
    </row>
    <row r="42" spans="1:19" s="148" customFormat="1" ht="16.5" customHeight="1">
      <c r="A42" s="872"/>
      <c r="B42" s="440" t="s">
        <v>425</v>
      </c>
      <c r="C42" s="385">
        <v>36531.398376905214</v>
      </c>
      <c r="D42" s="385">
        <v>12235.530106864971</v>
      </c>
      <c r="E42" s="385">
        <v>1828.1180671179957</v>
      </c>
      <c r="F42" s="385">
        <v>6301.655433255909</v>
      </c>
      <c r="G42" s="385">
        <v>4425.0975468346132</v>
      </c>
      <c r="H42" s="385">
        <v>1306.1183361047665</v>
      </c>
      <c r="I42" s="386">
        <f>$J42-SUM(C42:H42)</f>
        <v>417.31048563581135</v>
      </c>
      <c r="J42" s="653">
        <v>63045.228352719285</v>
      </c>
      <c r="K42" s="385">
        <v>31640.046992603558</v>
      </c>
      <c r="L42" s="385">
        <v>18033.497567310173</v>
      </c>
      <c r="M42" s="385">
        <v>2978.2642970184529</v>
      </c>
      <c r="N42" s="385">
        <v>2324.4522539924278</v>
      </c>
      <c r="O42" s="385">
        <v>6389.2444107349083</v>
      </c>
      <c r="P42" s="385">
        <v>1554.1988333893946</v>
      </c>
      <c r="Q42" s="386">
        <f>$J42-SUM(K42:P42)</f>
        <v>125.52399767036695</v>
      </c>
      <c r="R42" s="352"/>
      <c r="S42" s="352"/>
    </row>
    <row r="43" spans="1:19" s="148" customFormat="1" ht="16.5" customHeight="1">
      <c r="A43" s="872"/>
      <c r="B43" s="440" t="s">
        <v>426</v>
      </c>
      <c r="C43" s="385">
        <v>35666.166580377969</v>
      </c>
      <c r="D43" s="385">
        <v>11908.69736138275</v>
      </c>
      <c r="E43" s="385">
        <v>2607.6842712068897</v>
      </c>
      <c r="F43" s="385">
        <v>6975.4494418132863</v>
      </c>
      <c r="G43" s="385">
        <v>4415.5863569453668</v>
      </c>
      <c r="H43" s="385">
        <v>1380.0864249703741</v>
      </c>
      <c r="I43" s="386">
        <f>$J43-SUM(C43:H43)-0.05</f>
        <v>400.72818193368875</v>
      </c>
      <c r="J43" s="653">
        <v>63354.448618630326</v>
      </c>
      <c r="K43" s="385">
        <v>31079.174129476036</v>
      </c>
      <c r="L43" s="385">
        <v>17838.281410897907</v>
      </c>
      <c r="M43" s="385">
        <v>3718.7411874902173</v>
      </c>
      <c r="N43" s="385">
        <v>2488.9286083254688</v>
      </c>
      <c r="O43" s="385">
        <v>6574.8407911432851</v>
      </c>
      <c r="P43" s="385">
        <v>1529.9598550351161</v>
      </c>
      <c r="Q43" s="386">
        <f>$J43-SUM(K43:P43)</f>
        <v>124.52263626229251</v>
      </c>
      <c r="R43" s="352"/>
      <c r="S43" s="352"/>
    </row>
    <row r="44" spans="1:19" ht="20.25" customHeight="1">
      <c r="A44" s="253" t="s">
        <v>1052</v>
      </c>
      <c r="B44" s="380"/>
      <c r="C44" s="380"/>
      <c r="D44" s="380"/>
      <c r="E44" s="380"/>
      <c r="F44" s="380"/>
      <c r="G44" s="380"/>
      <c r="H44" s="380"/>
      <c r="I44" s="380"/>
      <c r="J44" s="380"/>
      <c r="K44" s="380"/>
      <c r="L44" s="380"/>
      <c r="M44" s="380"/>
      <c r="N44" s="380"/>
      <c r="O44" s="380"/>
      <c r="P44" s="380"/>
      <c r="Q44" s="252" t="s">
        <v>1053</v>
      </c>
    </row>
    <row r="45" spans="1:19" s="180" customFormat="1" ht="15">
      <c r="A45" s="306" t="s">
        <v>938</v>
      </c>
      <c r="B45" s="306"/>
      <c r="C45" s="306"/>
      <c r="D45" s="306"/>
      <c r="E45" s="306"/>
      <c r="F45" s="306"/>
      <c r="G45" s="306"/>
      <c r="H45" s="306"/>
      <c r="I45" s="306"/>
      <c r="J45" s="276"/>
      <c r="K45" s="276"/>
      <c r="L45" s="276"/>
      <c r="M45" s="276"/>
      <c r="N45" s="276"/>
      <c r="O45" s="276"/>
      <c r="P45" s="276"/>
      <c r="Q45" s="646" t="s">
        <v>939</v>
      </c>
    </row>
    <row r="47" spans="1:19" s="180" customFormat="1" ht="15">
      <c r="A47" s="276" t="s">
        <v>1054</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8" activePane="bottomLeft" state="frozen"/>
      <selection activeCell="B12" sqref="B12"/>
      <selection pane="bottomLeft" activeCell="P41" sqref="P41"/>
    </sheetView>
  </sheetViews>
  <sheetFormatPr defaultColWidth="9.140625" defaultRowHeight="12.75"/>
  <cols>
    <col min="1" max="2" width="9.7109375" style="381" customWidth="1"/>
    <col min="3" max="3" width="11.42578125" style="381" customWidth="1"/>
    <col min="4" max="4" width="12.85546875" style="381" customWidth="1"/>
    <col min="5" max="5" width="12.7109375" style="381" customWidth="1"/>
    <col min="6" max="6" width="10.28515625" style="381" customWidth="1"/>
    <col min="7" max="7" width="11.85546875" style="381" customWidth="1"/>
    <col min="8" max="8" width="12" style="381" customWidth="1"/>
    <col min="9" max="9" width="10.28515625" style="381" customWidth="1"/>
    <col min="10" max="10" width="12.7109375" style="381" customWidth="1"/>
    <col min="11" max="11" width="11.5703125" style="381" customWidth="1"/>
    <col min="12" max="12" width="12.85546875" style="381" customWidth="1"/>
    <col min="13" max="13" width="11.7109375" style="381" customWidth="1"/>
    <col min="14" max="14" width="10.28515625" style="381" customWidth="1"/>
    <col min="15" max="15" width="11.7109375" style="381" customWidth="1"/>
    <col min="16" max="16" width="12.28515625" style="381" customWidth="1"/>
    <col min="17" max="17" width="10.7109375" style="381" customWidth="1"/>
    <col min="18" max="16384" width="9.140625" style="381"/>
  </cols>
  <sheetData>
    <row r="1" spans="1:19" ht="18">
      <c r="A1" s="277" t="s">
        <v>1759</v>
      </c>
      <c r="B1" s="1740"/>
      <c r="C1" s="1740"/>
      <c r="D1" s="1740"/>
      <c r="E1" s="1740"/>
      <c r="F1" s="1740"/>
      <c r="G1" s="1740"/>
      <c r="H1" s="1740"/>
      <c r="I1" s="1740"/>
      <c r="J1" s="1740"/>
      <c r="K1" s="1740"/>
      <c r="L1" s="1740"/>
      <c r="M1" s="1740"/>
      <c r="N1" s="1740"/>
      <c r="O1" s="1740"/>
      <c r="P1" s="1740"/>
      <c r="Q1" s="1740"/>
    </row>
    <row r="2" spans="1:19" ht="18">
      <c r="A2" s="1690" t="s">
        <v>1055</v>
      </c>
      <c r="B2" s="1740"/>
      <c r="C2" s="1740"/>
      <c r="D2" s="1740"/>
      <c r="E2" s="1740"/>
      <c r="F2" s="1740"/>
      <c r="G2" s="1740"/>
      <c r="H2" s="1740"/>
      <c r="I2" s="1740"/>
      <c r="J2" s="1740"/>
      <c r="K2" s="1740"/>
      <c r="L2" s="1740"/>
      <c r="M2" s="1740"/>
      <c r="N2" s="1740"/>
      <c r="O2" s="1740"/>
      <c r="P2" s="1740"/>
      <c r="Q2" s="1740"/>
    </row>
    <row r="3" spans="1:19" ht="18">
      <c r="A3" s="1741" t="s">
        <v>1056</v>
      </c>
      <c r="B3" s="1740"/>
      <c r="C3" s="1740"/>
      <c r="D3" s="1740"/>
      <c r="E3" s="1740"/>
      <c r="F3" s="1740"/>
      <c r="G3" s="1740"/>
      <c r="H3" s="1740"/>
      <c r="I3" s="1740"/>
      <c r="J3" s="1740"/>
      <c r="K3" s="1740"/>
      <c r="L3" s="1740"/>
      <c r="M3" s="1740"/>
      <c r="N3" s="1740"/>
      <c r="O3" s="1740"/>
      <c r="P3" s="1740"/>
      <c r="Q3" s="1740"/>
    </row>
    <row r="4" spans="1:19" s="306" customFormat="1" ht="14.25">
      <c r="A4" s="306" t="s">
        <v>756</v>
      </c>
      <c r="B4" s="319"/>
      <c r="Q4" s="1446" t="s">
        <v>757</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943</v>
      </c>
      <c r="D9" s="177" t="s">
        <v>944</v>
      </c>
      <c r="E9" s="177" t="s">
        <v>945</v>
      </c>
      <c r="F9" s="162" t="s">
        <v>946</v>
      </c>
      <c r="G9" s="162"/>
      <c r="H9" s="177" t="s">
        <v>947</v>
      </c>
      <c r="I9" s="177"/>
      <c r="J9" s="194"/>
      <c r="K9" s="182" t="s">
        <v>943</v>
      </c>
      <c r="L9" s="177" t="s">
        <v>944</v>
      </c>
      <c r="M9" s="177" t="s">
        <v>945</v>
      </c>
      <c r="N9" s="162" t="s">
        <v>946</v>
      </c>
      <c r="O9" s="162"/>
      <c r="P9" s="177" t="s">
        <v>947</v>
      </c>
      <c r="Q9" s="177"/>
    </row>
    <row r="10" spans="1:19" s="176" customFormat="1" ht="18" customHeight="1">
      <c r="A10" s="163" t="s">
        <v>383</v>
      </c>
      <c r="B10" s="165"/>
      <c r="C10" s="182" t="s">
        <v>948</v>
      </c>
      <c r="D10" s="177" t="s">
        <v>949</v>
      </c>
      <c r="E10" s="177" t="s">
        <v>950</v>
      </c>
      <c r="F10" s="162" t="s">
        <v>951</v>
      </c>
      <c r="G10" s="162" t="s">
        <v>354</v>
      </c>
      <c r="H10" s="177" t="s">
        <v>952</v>
      </c>
      <c r="I10" s="177" t="s">
        <v>396</v>
      </c>
      <c r="J10" s="193" t="s">
        <v>386</v>
      </c>
      <c r="K10" s="182" t="s">
        <v>948</v>
      </c>
      <c r="L10" s="177" t="s">
        <v>949</v>
      </c>
      <c r="M10" s="177" t="s">
        <v>950</v>
      </c>
      <c r="N10" s="162" t="s">
        <v>951</v>
      </c>
      <c r="O10" s="162" t="s">
        <v>354</v>
      </c>
      <c r="P10" s="177" t="s">
        <v>952</v>
      </c>
      <c r="Q10" s="177" t="s">
        <v>396</v>
      </c>
    </row>
    <row r="11" spans="1:19" s="164" customFormat="1" ht="18" customHeight="1">
      <c r="A11" s="178" t="s">
        <v>391</v>
      </c>
      <c r="B11" s="165"/>
      <c r="C11" s="191" t="s">
        <v>953</v>
      </c>
      <c r="D11" s="166" t="s">
        <v>954</v>
      </c>
      <c r="E11" s="166" t="s">
        <v>955</v>
      </c>
      <c r="F11" s="166" t="s">
        <v>956</v>
      </c>
      <c r="G11" s="166" t="s">
        <v>549</v>
      </c>
      <c r="H11" s="166" t="s">
        <v>957</v>
      </c>
      <c r="I11" s="168" t="s">
        <v>404</v>
      </c>
      <c r="J11" s="195" t="s">
        <v>397</v>
      </c>
      <c r="K11" s="191" t="s">
        <v>953</v>
      </c>
      <c r="L11" s="166" t="s">
        <v>954</v>
      </c>
      <c r="M11" s="166" t="s">
        <v>955</v>
      </c>
      <c r="N11" s="166" t="s">
        <v>956</v>
      </c>
      <c r="O11" s="166" t="s">
        <v>549</v>
      </c>
      <c r="P11" s="166" t="s">
        <v>957</v>
      </c>
      <c r="Q11" s="168" t="s">
        <v>404</v>
      </c>
    </row>
    <row r="12" spans="1:19" s="164" customFormat="1" ht="18" customHeight="1">
      <c r="A12" s="179"/>
      <c r="B12" s="170"/>
      <c r="C12" s="192" t="s">
        <v>958</v>
      </c>
      <c r="D12" s="198" t="s">
        <v>959</v>
      </c>
      <c r="E12" s="198" t="s">
        <v>960</v>
      </c>
      <c r="F12" s="198" t="s">
        <v>961</v>
      </c>
      <c r="G12" s="198"/>
      <c r="H12" s="198" t="s">
        <v>962</v>
      </c>
      <c r="I12" s="199"/>
      <c r="J12" s="196"/>
      <c r="K12" s="192" t="s">
        <v>958</v>
      </c>
      <c r="L12" s="198" t="s">
        <v>959</v>
      </c>
      <c r="M12" s="198" t="s">
        <v>960</v>
      </c>
      <c r="N12" s="198" t="s">
        <v>961</v>
      </c>
      <c r="O12" s="198"/>
      <c r="P12" s="198" t="s">
        <v>962</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742">
        <v>580.38996185889368</v>
      </c>
      <c r="P13" s="386">
        <v>0.11223100982978725</v>
      </c>
      <c r="Q13" s="386">
        <v>304.42319819946789</v>
      </c>
      <c r="R13" s="352"/>
      <c r="S13" s="352"/>
    </row>
    <row r="14" spans="1:19" s="1024"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4"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4"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4"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4"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4"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4"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4" customFormat="1" ht="18" customHeight="1">
      <c r="A21" s="873">
        <v>2023</v>
      </c>
      <c r="B21" s="874"/>
      <c r="C21" s="385">
        <f t="shared" ref="C21:Q21" si="0">C26</f>
        <v>17253.050250269887</v>
      </c>
      <c r="D21" s="385">
        <f t="shared" si="0"/>
        <v>1427.4208984515124</v>
      </c>
      <c r="E21" s="386">
        <f t="shared" si="0"/>
        <v>18350.155125147703</v>
      </c>
      <c r="F21" s="386">
        <f t="shared" si="0"/>
        <v>88.311896868702149</v>
      </c>
      <c r="G21" s="386">
        <f t="shared" si="0"/>
        <v>767.91357610837599</v>
      </c>
      <c r="H21" s="386">
        <f t="shared" si="0"/>
        <v>0.53275775289361715</v>
      </c>
      <c r="I21" s="386">
        <f t="shared" si="0"/>
        <v>347.02742903016474</v>
      </c>
      <c r="J21" s="653">
        <f t="shared" si="0"/>
        <v>38234.40193362924</v>
      </c>
      <c r="K21" s="385">
        <f t="shared" si="0"/>
        <v>16200.750127781273</v>
      </c>
      <c r="L21" s="385">
        <f t="shared" si="0"/>
        <v>6553.8085016038895</v>
      </c>
      <c r="M21" s="386">
        <f t="shared" si="0"/>
        <v>13996.742001385028</v>
      </c>
      <c r="N21" s="386">
        <f t="shared" si="0"/>
        <v>155.58920305021275</v>
      </c>
      <c r="O21" s="386">
        <f t="shared" si="0"/>
        <v>837.73778287979781</v>
      </c>
      <c r="P21" s="386">
        <f t="shared" si="0"/>
        <v>0.51975514893617025</v>
      </c>
      <c r="Q21" s="386">
        <f t="shared" si="0"/>
        <v>489.25137618782935</v>
      </c>
      <c r="R21" s="352"/>
      <c r="S21" s="352"/>
    </row>
    <row r="22" spans="1:19" s="1024" customFormat="1" ht="18" customHeight="1">
      <c r="A22" s="1019">
        <v>2024</v>
      </c>
      <c r="B22" s="1020"/>
      <c r="C22" s="1021">
        <f t="shared" ref="C22:Q22" si="1">C30</f>
        <v>21846.086171617131</v>
      </c>
      <c r="D22" s="1021">
        <f t="shared" si="1"/>
        <v>2288.0066650142107</v>
      </c>
      <c r="E22" s="1325">
        <f t="shared" si="1"/>
        <v>36696.238967598671</v>
      </c>
      <c r="F22" s="1022">
        <f t="shared" si="1"/>
        <v>333.950699451731</v>
      </c>
      <c r="G22" s="1022">
        <f t="shared" si="1"/>
        <v>1085.5125094299533</v>
      </c>
      <c r="H22" s="1022">
        <f t="shared" si="1"/>
        <v>37.238493014154066</v>
      </c>
      <c r="I22" s="1022">
        <f t="shared" si="1"/>
        <v>1067.4174840169649</v>
      </c>
      <c r="J22" s="1023">
        <f t="shared" si="1"/>
        <v>63354.440990142815</v>
      </c>
      <c r="K22" s="1021">
        <f t="shared" si="1"/>
        <v>21382.338917704499</v>
      </c>
      <c r="L22" s="1021">
        <f t="shared" si="1"/>
        <v>7719.374220805139</v>
      </c>
      <c r="M22" s="1022">
        <f t="shared" si="1"/>
        <v>30944.462766572982</v>
      </c>
      <c r="N22" s="1022">
        <f t="shared" si="1"/>
        <v>397.74128785244636</v>
      </c>
      <c r="O22" s="1022">
        <f t="shared" si="1"/>
        <v>1171.7607428206718</v>
      </c>
      <c r="P22" s="1022">
        <f t="shared" si="1"/>
        <v>4.7271445146151416</v>
      </c>
      <c r="Q22" s="1022">
        <f t="shared" si="1"/>
        <v>1733.9808062818092</v>
      </c>
      <c r="R22" s="352"/>
      <c r="S22" s="352"/>
    </row>
    <row r="23" spans="1:19" s="1024" customFormat="1" ht="21" customHeight="1">
      <c r="A23" s="873">
        <v>2023</v>
      </c>
      <c r="B23" s="874" t="s">
        <v>243</v>
      </c>
      <c r="C23" s="385">
        <v>17384.516751176634</v>
      </c>
      <c r="D23" s="385">
        <v>1119.7462692169183</v>
      </c>
      <c r="E23" s="386">
        <v>17290.272968777739</v>
      </c>
      <c r="F23" s="386">
        <v>65.591209346341472</v>
      </c>
      <c r="G23" s="386">
        <v>816.27136423156389</v>
      </c>
      <c r="H23" s="386">
        <v>0.86352825961202839</v>
      </c>
      <c r="I23" s="386">
        <v>366.59701095849204</v>
      </c>
      <c r="J23" s="653">
        <v>37043.859101967304</v>
      </c>
      <c r="K23" s="385">
        <v>15842.895017641893</v>
      </c>
      <c r="L23" s="385">
        <v>5431.3055318232273</v>
      </c>
      <c r="M23" s="386">
        <v>14479.713443251097</v>
      </c>
      <c r="N23" s="386">
        <v>75.437514623294973</v>
      </c>
      <c r="O23" s="386">
        <v>839.53799444993933</v>
      </c>
      <c r="P23" s="386">
        <v>0.59965153723404252</v>
      </c>
      <c r="Q23" s="386">
        <v>374.49084734307451</v>
      </c>
      <c r="R23" s="352"/>
      <c r="S23" s="352"/>
    </row>
    <row r="24" spans="1:19" s="1024" customFormat="1" ht="16.5" customHeight="1">
      <c r="A24" s="873"/>
      <c r="B24" s="874" t="s">
        <v>244</v>
      </c>
      <c r="C24" s="385">
        <v>17371.180457749</v>
      </c>
      <c r="D24" s="385">
        <v>1421.9021123972345</v>
      </c>
      <c r="E24" s="386">
        <v>17573.634247586193</v>
      </c>
      <c r="F24" s="386">
        <v>70.135860157857195</v>
      </c>
      <c r="G24" s="386">
        <v>854.60558250175836</v>
      </c>
      <c r="H24" s="386">
        <v>0.87447507379680944</v>
      </c>
      <c r="I24" s="386">
        <v>367.46453716351454</v>
      </c>
      <c r="J24" s="653">
        <v>37659.777272629348</v>
      </c>
      <c r="K24" s="385">
        <v>15964.279595596492</v>
      </c>
      <c r="L24" s="385">
        <v>5789.8555532080973</v>
      </c>
      <c r="M24" s="386">
        <v>14578.639905953791</v>
      </c>
      <c r="N24" s="386">
        <v>74.871505432521275</v>
      </c>
      <c r="O24" s="386">
        <v>870.94885510610811</v>
      </c>
      <c r="P24" s="386">
        <v>0.56303238829787228</v>
      </c>
      <c r="Q24" s="386">
        <v>380.6106173076252</v>
      </c>
      <c r="R24" s="352"/>
      <c r="S24" s="352"/>
    </row>
    <row r="25" spans="1:19" s="1024" customFormat="1" ht="16.5" customHeight="1">
      <c r="A25" s="873"/>
      <c r="B25" s="874" t="s">
        <v>245</v>
      </c>
      <c r="C25" s="385">
        <v>17614.359019334468</v>
      </c>
      <c r="D25" s="386">
        <v>1134.8241539446799</v>
      </c>
      <c r="E25" s="1743">
        <v>18106.322522917399</v>
      </c>
      <c r="F25" s="386">
        <v>107.20611503682341</v>
      </c>
      <c r="G25" s="386">
        <v>794.93383057546214</v>
      </c>
      <c r="H25" s="386">
        <v>1.0307424125453921</v>
      </c>
      <c r="I25" s="386">
        <v>359.06650165234117</v>
      </c>
      <c r="J25" s="653">
        <v>38117.722885873722</v>
      </c>
      <c r="K25" s="385">
        <v>15879.762989448429</v>
      </c>
      <c r="L25" s="385">
        <v>6685.470670412612</v>
      </c>
      <c r="M25" s="386">
        <v>14283.23425974286</v>
      </c>
      <c r="N25" s="386">
        <v>110.5206646975532</v>
      </c>
      <c r="O25" s="386">
        <v>802.39339862805116</v>
      </c>
      <c r="P25" s="386">
        <v>0.74759642553191474</v>
      </c>
      <c r="Q25" s="386">
        <v>355.60200461722229</v>
      </c>
      <c r="R25" s="352"/>
      <c r="S25" s="352"/>
    </row>
    <row r="26" spans="1:19" s="1024" customFormat="1" ht="16.5" customHeight="1">
      <c r="A26" s="873"/>
      <c r="B26" s="874" t="s">
        <v>242</v>
      </c>
      <c r="C26" s="385">
        <v>17253.050250269887</v>
      </c>
      <c r="D26" s="385">
        <v>1427.4208984515124</v>
      </c>
      <c r="E26" s="386">
        <v>18350.155125147703</v>
      </c>
      <c r="F26" s="386">
        <v>88.311896868702149</v>
      </c>
      <c r="G26" s="386">
        <v>767.91357610837599</v>
      </c>
      <c r="H26" s="386">
        <v>0.53275775289361715</v>
      </c>
      <c r="I26" s="386">
        <v>347.02742903016474</v>
      </c>
      <c r="J26" s="653">
        <v>38234.40193362924</v>
      </c>
      <c r="K26" s="385">
        <v>16200.750127781273</v>
      </c>
      <c r="L26" s="385">
        <v>6553.8085016038895</v>
      </c>
      <c r="M26" s="386">
        <v>13996.742001385028</v>
      </c>
      <c r="N26" s="386">
        <v>155.58920305021275</v>
      </c>
      <c r="O26" s="386">
        <v>837.73778287979781</v>
      </c>
      <c r="P26" s="386">
        <v>0.51975514893617025</v>
      </c>
      <c r="Q26" s="386">
        <v>489.25137618782935</v>
      </c>
      <c r="R26" s="352"/>
      <c r="S26" s="352"/>
    </row>
    <row r="27" spans="1:19" s="1024" customFormat="1" ht="21" customHeight="1">
      <c r="A27" s="873">
        <v>2024</v>
      </c>
      <c r="B27" s="874" t="s">
        <v>243</v>
      </c>
      <c r="C27" s="385">
        <f t="shared" ref="C27:Q27" si="2">C34</f>
        <v>20949.107707089999</v>
      </c>
      <c r="D27" s="385">
        <f t="shared" si="2"/>
        <v>2300.8103178102438</v>
      </c>
      <c r="E27" s="386">
        <f t="shared" si="2"/>
        <v>36072.642477565685</v>
      </c>
      <c r="F27" s="386">
        <f t="shared" si="2"/>
        <v>330.47876992023566</v>
      </c>
      <c r="G27" s="386">
        <f t="shared" si="2"/>
        <v>1151.5133140432608</v>
      </c>
      <c r="H27" s="386">
        <f t="shared" si="2"/>
        <v>1.7506840216409527</v>
      </c>
      <c r="I27" s="386">
        <f t="shared" si="2"/>
        <v>196.18043255906088</v>
      </c>
      <c r="J27" s="653">
        <f t="shared" si="2"/>
        <v>61002.493703010128</v>
      </c>
      <c r="K27" s="385">
        <f t="shared" si="2"/>
        <v>20664.831797502171</v>
      </c>
      <c r="L27" s="385">
        <f t="shared" si="2"/>
        <v>7028.7058431425166</v>
      </c>
      <c r="M27" s="386">
        <f t="shared" si="2"/>
        <v>31096.761945027261</v>
      </c>
      <c r="N27" s="386">
        <f t="shared" si="2"/>
        <v>375.92329110466653</v>
      </c>
      <c r="O27" s="386">
        <f t="shared" si="2"/>
        <v>1161.3279168135318</v>
      </c>
      <c r="P27" s="386">
        <f t="shared" si="2"/>
        <v>1.7610744199733763</v>
      </c>
      <c r="Q27" s="386">
        <f t="shared" si="2"/>
        <v>673.16183432463686</v>
      </c>
      <c r="R27" s="352"/>
      <c r="S27" s="352"/>
    </row>
    <row r="28" spans="1:19" s="1024" customFormat="1" ht="16.5" customHeight="1">
      <c r="A28" s="873"/>
      <c r="B28" s="874" t="s">
        <v>244</v>
      </c>
      <c r="C28" s="385">
        <f t="shared" ref="C28:Q28" si="3">C37</f>
        <v>21223.250832898051</v>
      </c>
      <c r="D28" s="385">
        <f t="shared" si="3"/>
        <v>2358.5798353122545</v>
      </c>
      <c r="E28" s="386">
        <f t="shared" si="3"/>
        <v>36289.482422309302</v>
      </c>
      <c r="F28" s="386">
        <f t="shared" si="3"/>
        <v>309.49215112722254</v>
      </c>
      <c r="G28" s="386">
        <f t="shared" si="3"/>
        <v>1260.4255015258652</v>
      </c>
      <c r="H28" s="386">
        <f t="shared" si="3"/>
        <v>125.22186749645279</v>
      </c>
      <c r="I28" s="386">
        <f t="shared" si="3"/>
        <v>136.31958265686666</v>
      </c>
      <c r="J28" s="653">
        <f t="shared" si="3"/>
        <v>61702.772193326018</v>
      </c>
      <c r="K28" s="385">
        <f t="shared" si="3"/>
        <v>20738.281302560594</v>
      </c>
      <c r="L28" s="385">
        <f t="shared" si="3"/>
        <v>7318.3760823859475</v>
      </c>
      <c r="M28" s="386">
        <f t="shared" si="3"/>
        <v>31208.982378998578</v>
      </c>
      <c r="N28" s="386">
        <f t="shared" si="3"/>
        <v>359.86124376143977</v>
      </c>
      <c r="O28" s="386">
        <f t="shared" si="3"/>
        <v>1300.820471476171</v>
      </c>
      <c r="P28" s="386">
        <f t="shared" si="3"/>
        <v>7.3738718985669855</v>
      </c>
      <c r="Q28" s="386">
        <f t="shared" si="3"/>
        <v>769.01769913222961</v>
      </c>
      <c r="R28" s="352"/>
      <c r="S28" s="352"/>
    </row>
    <row r="29" spans="1:19" s="1024" customFormat="1" ht="16.5" customHeight="1">
      <c r="A29" s="873"/>
      <c r="B29" s="874" t="s">
        <v>245</v>
      </c>
      <c r="C29" s="385">
        <f t="shared" ref="C29:Q29" si="4">C40</f>
        <v>21502.276905059778</v>
      </c>
      <c r="D29" s="385">
        <f t="shared" si="4"/>
        <v>2324.9426803315168</v>
      </c>
      <c r="E29" s="386">
        <f t="shared" si="4"/>
        <v>36674.984606045487</v>
      </c>
      <c r="F29" s="386">
        <f t="shared" si="4"/>
        <v>434.7587539446663</v>
      </c>
      <c r="G29" s="386">
        <f t="shared" si="4"/>
        <v>1210.8751588368627</v>
      </c>
      <c r="H29" s="386">
        <f t="shared" si="4"/>
        <v>48.147051000368435</v>
      </c>
      <c r="I29" s="386">
        <f t="shared" si="4"/>
        <v>114.45493004332658</v>
      </c>
      <c r="J29" s="653">
        <f t="shared" si="4"/>
        <v>62310.460085261999</v>
      </c>
      <c r="K29" s="385">
        <f t="shared" si="4"/>
        <v>21179.369135503057</v>
      </c>
      <c r="L29" s="385">
        <f t="shared" si="4"/>
        <v>7623.5895702660891</v>
      </c>
      <c r="M29" s="386">
        <f t="shared" si="4"/>
        <v>30984.740197684579</v>
      </c>
      <c r="N29" s="386">
        <f t="shared" si="4"/>
        <v>468.83849058495673</v>
      </c>
      <c r="O29" s="386">
        <f t="shared" si="4"/>
        <v>1311.9594715613243</v>
      </c>
      <c r="P29" s="386">
        <f t="shared" si="4"/>
        <v>1.5140094079428954</v>
      </c>
      <c r="Q29" s="386">
        <f t="shared" si="4"/>
        <v>740.53529857833291</v>
      </c>
      <c r="R29" s="352"/>
      <c r="S29" s="352"/>
    </row>
    <row r="30" spans="1:19" s="1024" customFormat="1" ht="16.5" customHeight="1">
      <c r="A30" s="1019"/>
      <c r="B30" s="1020" t="s">
        <v>242</v>
      </c>
      <c r="C30" s="1021">
        <f t="shared" ref="C30:Q30" si="5">C43</f>
        <v>21846.086171617131</v>
      </c>
      <c r="D30" s="1021">
        <f t="shared" si="5"/>
        <v>2288.0066650142107</v>
      </c>
      <c r="E30" s="1022">
        <f t="shared" si="5"/>
        <v>36696.238967598671</v>
      </c>
      <c r="F30" s="1022">
        <f t="shared" si="5"/>
        <v>333.950699451731</v>
      </c>
      <c r="G30" s="1022">
        <f t="shared" si="5"/>
        <v>1085.5125094299533</v>
      </c>
      <c r="H30" s="1022">
        <f t="shared" si="5"/>
        <v>37.238493014154066</v>
      </c>
      <c r="I30" s="1022">
        <f t="shared" si="5"/>
        <v>1067.4174840169649</v>
      </c>
      <c r="J30" s="1023">
        <f t="shared" si="5"/>
        <v>63354.440990142815</v>
      </c>
      <c r="K30" s="1021">
        <f t="shared" si="5"/>
        <v>21382.338917704499</v>
      </c>
      <c r="L30" s="1021">
        <f t="shared" si="5"/>
        <v>7719.374220805139</v>
      </c>
      <c r="M30" s="1022">
        <f t="shared" si="5"/>
        <v>30944.462766572982</v>
      </c>
      <c r="N30" s="1022">
        <f t="shared" si="5"/>
        <v>397.74128785244636</v>
      </c>
      <c r="O30" s="1022">
        <f t="shared" si="5"/>
        <v>1171.7607428206718</v>
      </c>
      <c r="P30" s="1022">
        <f t="shared" si="5"/>
        <v>4.7271445146151416</v>
      </c>
      <c r="Q30" s="1022">
        <f t="shared" si="5"/>
        <v>1733.9808062818092</v>
      </c>
      <c r="R30" s="352"/>
      <c r="S30" s="352"/>
    </row>
    <row r="31" spans="1:19" s="148" customFormat="1" ht="21" customHeight="1">
      <c r="A31" s="872">
        <v>2023</v>
      </c>
      <c r="B31" s="440" t="s">
        <v>426</v>
      </c>
      <c r="C31" s="672">
        <v>17253.050250269887</v>
      </c>
      <c r="D31" s="672">
        <v>1427.4208984515124</v>
      </c>
      <c r="E31" s="682">
        <v>18350.155125147703</v>
      </c>
      <c r="F31" s="682">
        <v>88.311896868702149</v>
      </c>
      <c r="G31" s="682">
        <v>767.91357610837599</v>
      </c>
      <c r="H31" s="682">
        <v>0.53275775289361715</v>
      </c>
      <c r="I31" s="682">
        <v>347.02742903016474</v>
      </c>
      <c r="J31" s="668">
        <v>38234.40193362924</v>
      </c>
      <c r="K31" s="672">
        <v>16200.750127781273</v>
      </c>
      <c r="L31" s="672">
        <v>6553.8085016038895</v>
      </c>
      <c r="M31" s="682">
        <v>13996.742001385028</v>
      </c>
      <c r="N31" s="682">
        <v>155.58920305021275</v>
      </c>
      <c r="O31" s="682">
        <v>837.73778287979781</v>
      </c>
      <c r="P31" s="682">
        <v>0.51975514893617025</v>
      </c>
      <c r="Q31" s="682">
        <v>489.25137618782935</v>
      </c>
      <c r="R31" s="352"/>
      <c r="S31" s="352"/>
    </row>
    <row r="32" spans="1:19" s="148" customFormat="1" ht="21" customHeight="1">
      <c r="A32" s="872">
        <v>2024</v>
      </c>
      <c r="B32" s="440" t="s">
        <v>427</v>
      </c>
      <c r="C32" s="672">
        <v>21592.341998273336</v>
      </c>
      <c r="D32" s="672">
        <v>2437.3518733023684</v>
      </c>
      <c r="E32" s="682">
        <v>35686.888225534458</v>
      </c>
      <c r="F32" s="682">
        <v>344.47205536063694</v>
      </c>
      <c r="G32" s="682">
        <v>1288.5317461370682</v>
      </c>
      <c r="H32" s="682">
        <v>0.76127951007790218</v>
      </c>
      <c r="I32" s="682">
        <v>215.01989796005219</v>
      </c>
      <c r="J32" s="668">
        <v>61565.367076077993</v>
      </c>
      <c r="K32" s="672">
        <v>20764.957453167608</v>
      </c>
      <c r="L32" s="672">
        <v>6982.6381379918912</v>
      </c>
      <c r="M32" s="682">
        <v>31441.036255079722</v>
      </c>
      <c r="N32" s="682">
        <v>356.64370496384868</v>
      </c>
      <c r="O32" s="682">
        <v>1320.2053718930144</v>
      </c>
      <c r="P32" s="682">
        <v>0.78137720326935312</v>
      </c>
      <c r="Q32" s="682">
        <v>699.18437834479062</v>
      </c>
      <c r="R32" s="352"/>
      <c r="S32" s="352"/>
    </row>
    <row r="33" spans="1:19" s="148" customFormat="1" ht="16.5" customHeight="1">
      <c r="A33" s="872"/>
      <c r="B33" s="440" t="s">
        <v>416</v>
      </c>
      <c r="C33" s="672">
        <v>21523.681358130172</v>
      </c>
      <c r="D33" s="672">
        <v>2686.2853039337833</v>
      </c>
      <c r="E33" s="682">
        <v>35853.838896085603</v>
      </c>
      <c r="F33" s="682">
        <v>293.52439047881063</v>
      </c>
      <c r="G33" s="682">
        <v>1283.927902043813</v>
      </c>
      <c r="H33" s="682">
        <v>0.78338826335456346</v>
      </c>
      <c r="I33" s="682">
        <v>212.28002396638962</v>
      </c>
      <c r="J33" s="668">
        <v>61854.321262901925</v>
      </c>
      <c r="K33" s="672">
        <v>20970.131027455267</v>
      </c>
      <c r="L33" s="672">
        <v>7425.913967200051</v>
      </c>
      <c r="M33" s="682">
        <v>31058.636634169601</v>
      </c>
      <c r="N33" s="682">
        <v>332.07688581839898</v>
      </c>
      <c r="O33" s="682">
        <v>1307.2489751403928</v>
      </c>
      <c r="P33" s="682">
        <v>0.78595867093435168</v>
      </c>
      <c r="Q33" s="682">
        <v>759.63969846289262</v>
      </c>
      <c r="R33" s="352"/>
      <c r="S33" s="352"/>
    </row>
    <row r="34" spans="1:19" s="148" customFormat="1" ht="16.5" customHeight="1">
      <c r="A34" s="872"/>
      <c r="B34" s="440" t="s">
        <v>417</v>
      </c>
      <c r="C34" s="672">
        <v>20949.107707089999</v>
      </c>
      <c r="D34" s="672">
        <v>2300.8103178102438</v>
      </c>
      <c r="E34" s="682">
        <v>36072.642477565685</v>
      </c>
      <c r="F34" s="682">
        <v>330.47876992023566</v>
      </c>
      <c r="G34" s="682">
        <v>1151.5133140432608</v>
      </c>
      <c r="H34" s="682">
        <v>1.7506840216409527</v>
      </c>
      <c r="I34" s="682">
        <v>196.18043255906088</v>
      </c>
      <c r="J34" s="668">
        <v>61002.493703010128</v>
      </c>
      <c r="K34" s="672">
        <v>20664.831797502171</v>
      </c>
      <c r="L34" s="672">
        <v>7028.7058431425166</v>
      </c>
      <c r="M34" s="682">
        <v>31096.761945027261</v>
      </c>
      <c r="N34" s="682">
        <v>375.92329110466653</v>
      </c>
      <c r="O34" s="682">
        <v>1161.3279168135318</v>
      </c>
      <c r="P34" s="682">
        <v>1.7610744199733763</v>
      </c>
      <c r="Q34" s="682">
        <v>673.16183432463686</v>
      </c>
      <c r="R34" s="352"/>
      <c r="S34" s="352"/>
    </row>
    <row r="35" spans="1:19" s="148" customFormat="1" ht="16.5" customHeight="1">
      <c r="A35" s="872"/>
      <c r="B35" s="440" t="s">
        <v>418</v>
      </c>
      <c r="C35" s="672">
        <v>21157.055278193642</v>
      </c>
      <c r="D35" s="672">
        <v>2608.7561232459789</v>
      </c>
      <c r="E35" s="682">
        <v>36575.264505501618</v>
      </c>
      <c r="F35" s="682">
        <v>253.37017776835336</v>
      </c>
      <c r="G35" s="682">
        <v>1180.392963631803</v>
      </c>
      <c r="H35" s="682">
        <v>1.9644477845189479</v>
      </c>
      <c r="I35" s="682">
        <v>157.45631436132777</v>
      </c>
      <c r="J35" s="668">
        <v>61934.489810487241</v>
      </c>
      <c r="K35" s="672">
        <v>20970.169848051439</v>
      </c>
      <c r="L35" s="672">
        <v>7808.1662252121641</v>
      </c>
      <c r="M35" s="682">
        <v>30847.478310237009</v>
      </c>
      <c r="N35" s="682">
        <v>306.83252761670786</v>
      </c>
      <c r="O35" s="682">
        <v>1244.3054654463272</v>
      </c>
      <c r="P35" s="682">
        <v>1.8877640930295727</v>
      </c>
      <c r="Q35" s="682">
        <v>755.63672718983332</v>
      </c>
      <c r="R35" s="352"/>
      <c r="S35" s="352"/>
    </row>
    <row r="36" spans="1:19" s="148" customFormat="1" ht="16.5" customHeight="1">
      <c r="A36" s="872"/>
      <c r="B36" s="440" t="s">
        <v>419</v>
      </c>
      <c r="C36" s="672">
        <v>21134.515341918417</v>
      </c>
      <c r="D36" s="672">
        <v>2445.036538185343</v>
      </c>
      <c r="E36" s="682">
        <v>37228.943798777669</v>
      </c>
      <c r="F36" s="682">
        <v>301.42516687231762</v>
      </c>
      <c r="G36" s="682">
        <v>1254.4074879486789</v>
      </c>
      <c r="H36" s="682">
        <v>89.728526876497568</v>
      </c>
      <c r="I36" s="682">
        <v>125.32053151471594</v>
      </c>
      <c r="J36" s="668">
        <v>62579.227392093642</v>
      </c>
      <c r="K36" s="672">
        <v>20623.061384946162</v>
      </c>
      <c r="L36" s="672">
        <v>7455.3259089836265</v>
      </c>
      <c r="M36" s="682">
        <v>31981.351966312686</v>
      </c>
      <c r="N36" s="682">
        <v>400.83350197462647</v>
      </c>
      <c r="O36" s="682">
        <v>1351.7542829006916</v>
      </c>
      <c r="P36" s="682">
        <v>19.467723378859219</v>
      </c>
      <c r="Q36" s="682">
        <v>747.3488001226051</v>
      </c>
      <c r="R36" s="352"/>
      <c r="S36" s="352"/>
    </row>
    <row r="37" spans="1:19" s="148" customFormat="1" ht="16.5" customHeight="1">
      <c r="A37" s="872"/>
      <c r="B37" s="440" t="s">
        <v>420</v>
      </c>
      <c r="C37" s="672">
        <v>21223.250832898051</v>
      </c>
      <c r="D37" s="672">
        <v>2358.5798353122545</v>
      </c>
      <c r="E37" s="682">
        <v>36289.482422309302</v>
      </c>
      <c r="F37" s="682">
        <v>309.49215112722254</v>
      </c>
      <c r="G37" s="682">
        <v>1260.4255015258652</v>
      </c>
      <c r="H37" s="682">
        <v>125.22186749645279</v>
      </c>
      <c r="I37" s="682">
        <v>136.31958265686666</v>
      </c>
      <c r="J37" s="668">
        <v>61702.772193326018</v>
      </c>
      <c r="K37" s="672">
        <v>20738.281302560594</v>
      </c>
      <c r="L37" s="672">
        <v>7318.3760823859475</v>
      </c>
      <c r="M37" s="682">
        <v>31208.982378998578</v>
      </c>
      <c r="N37" s="682">
        <v>359.86124376143977</v>
      </c>
      <c r="O37" s="682">
        <v>1300.820471476171</v>
      </c>
      <c r="P37" s="682">
        <v>7.3738718985669855</v>
      </c>
      <c r="Q37" s="682">
        <v>769.01769913222961</v>
      </c>
      <c r="R37" s="352"/>
      <c r="S37" s="352"/>
    </row>
    <row r="38" spans="1:19" s="148" customFormat="1" ht="16.5" customHeight="1">
      <c r="A38" s="872"/>
      <c r="B38" s="440" t="s">
        <v>421</v>
      </c>
      <c r="C38" s="672">
        <v>21228.596464891329</v>
      </c>
      <c r="D38" s="672">
        <v>2357.9402088931411</v>
      </c>
      <c r="E38" s="682">
        <v>36634.212016193516</v>
      </c>
      <c r="F38" s="682">
        <v>368.5142602142966</v>
      </c>
      <c r="G38" s="682">
        <v>1348.1777587540257</v>
      </c>
      <c r="H38" s="682">
        <v>1.741976847269334</v>
      </c>
      <c r="I38" s="682">
        <v>119.96923610149511</v>
      </c>
      <c r="J38" s="668">
        <v>62059.141921895083</v>
      </c>
      <c r="K38" s="672">
        <v>20513.772487917286</v>
      </c>
      <c r="L38" s="672">
        <v>7587.2972055975779</v>
      </c>
      <c r="M38" s="682">
        <v>31414.782089679804</v>
      </c>
      <c r="N38" s="682">
        <v>390.86233738369174</v>
      </c>
      <c r="O38" s="682">
        <v>1396.6622114839752</v>
      </c>
      <c r="P38" s="682">
        <v>1.7389330382374375</v>
      </c>
      <c r="Q38" s="682">
        <v>753.86469414717226</v>
      </c>
      <c r="R38" s="352"/>
      <c r="S38" s="352"/>
    </row>
    <row r="39" spans="1:19" s="148" customFormat="1" ht="16.5" customHeight="1">
      <c r="A39" s="872"/>
      <c r="B39" s="440" t="s">
        <v>422</v>
      </c>
      <c r="C39" s="672">
        <v>21159.420688581635</v>
      </c>
      <c r="D39" s="672">
        <v>2389.8589013344063</v>
      </c>
      <c r="E39" s="682">
        <v>36065.618897955341</v>
      </c>
      <c r="F39" s="682">
        <v>408.32733945131417</v>
      </c>
      <c r="G39" s="682">
        <v>1340.8404148934558</v>
      </c>
      <c r="H39" s="682">
        <v>2.0514220519293058</v>
      </c>
      <c r="I39" s="682">
        <v>122.26060893368749</v>
      </c>
      <c r="J39" s="668">
        <v>61488.388273201774</v>
      </c>
      <c r="K39" s="672">
        <v>20154.461591148854</v>
      </c>
      <c r="L39" s="672">
        <v>7493.8832813462013</v>
      </c>
      <c r="M39" s="682">
        <v>31326.213935843396</v>
      </c>
      <c r="N39" s="682">
        <v>416.05615265176112</v>
      </c>
      <c r="O39" s="682">
        <v>1353.0394659433591</v>
      </c>
      <c r="P39" s="682">
        <v>2.6040725242271607</v>
      </c>
      <c r="Q39" s="682">
        <v>742.13603122449661</v>
      </c>
      <c r="R39" s="352"/>
      <c r="S39" s="352"/>
    </row>
    <row r="40" spans="1:19" s="148" customFormat="1" ht="16.5" customHeight="1">
      <c r="A40" s="872"/>
      <c r="B40" s="440" t="s">
        <v>423</v>
      </c>
      <c r="C40" s="672">
        <v>21502.276905059778</v>
      </c>
      <c r="D40" s="672">
        <v>2324.9426803315168</v>
      </c>
      <c r="E40" s="682">
        <v>36674.984606045487</v>
      </c>
      <c r="F40" s="682">
        <v>434.7587539446663</v>
      </c>
      <c r="G40" s="682">
        <v>1210.8751588368627</v>
      </c>
      <c r="H40" s="682">
        <v>48.147051000368435</v>
      </c>
      <c r="I40" s="682">
        <v>114.45493004332658</v>
      </c>
      <c r="J40" s="668">
        <v>62310.460085261999</v>
      </c>
      <c r="K40" s="672">
        <v>21179.369135503057</v>
      </c>
      <c r="L40" s="672">
        <v>7623.5895702660891</v>
      </c>
      <c r="M40" s="682">
        <v>30984.740197684579</v>
      </c>
      <c r="N40" s="682">
        <v>468.83849058495673</v>
      </c>
      <c r="O40" s="682">
        <v>1311.9594715613243</v>
      </c>
      <c r="P40" s="682">
        <v>1.5140094079428954</v>
      </c>
      <c r="Q40" s="682">
        <v>740.53529857833291</v>
      </c>
      <c r="R40" s="352"/>
      <c r="S40" s="352"/>
    </row>
    <row r="41" spans="1:19" s="148" customFormat="1" ht="16.5" customHeight="1">
      <c r="A41" s="872"/>
      <c r="B41" s="440" t="s">
        <v>424</v>
      </c>
      <c r="C41" s="672">
        <v>21572.771202890417</v>
      </c>
      <c r="D41" s="672">
        <v>2169.2421088544947</v>
      </c>
      <c r="E41" s="682">
        <v>36943.727996808368</v>
      </c>
      <c r="F41" s="682">
        <v>386.04117536089916</v>
      </c>
      <c r="G41" s="682">
        <v>1224.9011838022311</v>
      </c>
      <c r="H41" s="682">
        <v>37.069619289637615</v>
      </c>
      <c r="I41" s="682">
        <v>294.70741441099079</v>
      </c>
      <c r="J41" s="668">
        <v>62628.420701417032</v>
      </c>
      <c r="K41" s="672">
        <v>21257.135416951169</v>
      </c>
      <c r="L41" s="672">
        <v>8351.6932326877559</v>
      </c>
      <c r="M41" s="682">
        <v>30361.265524538157</v>
      </c>
      <c r="N41" s="682">
        <v>470.33005556190847</v>
      </c>
      <c r="O41" s="682">
        <v>1257.2618826308942</v>
      </c>
      <c r="P41" s="682">
        <v>1.7728697214381286</v>
      </c>
      <c r="Q41" s="682">
        <v>928.85657316342861</v>
      </c>
      <c r="R41" s="352"/>
      <c r="S41" s="352"/>
    </row>
    <row r="42" spans="1:19" s="148" customFormat="1" ht="16.5" customHeight="1">
      <c r="A42" s="872"/>
      <c r="B42" s="440" t="s">
        <v>425</v>
      </c>
      <c r="C42" s="672">
        <v>22055.385856677847</v>
      </c>
      <c r="D42" s="672">
        <v>2475.0469158323376</v>
      </c>
      <c r="E42" s="682">
        <v>36320.815764034276</v>
      </c>
      <c r="F42" s="682">
        <v>522.79321416507707</v>
      </c>
      <c r="G42" s="682">
        <v>1200.0354735638684</v>
      </c>
      <c r="H42" s="682">
        <v>1.6141579066095715</v>
      </c>
      <c r="I42" s="682">
        <v>469.60334600872676</v>
      </c>
      <c r="J42" s="668">
        <v>63045.224728188747</v>
      </c>
      <c r="K42" s="672">
        <v>21499.79144812575</v>
      </c>
      <c r="L42" s="672">
        <v>7621.9156623373747</v>
      </c>
      <c r="M42" s="682">
        <v>31162.538854660554</v>
      </c>
      <c r="N42" s="682">
        <v>469.69509173808058</v>
      </c>
      <c r="O42" s="682">
        <v>1181.1316332033252</v>
      </c>
      <c r="P42" s="682">
        <v>3.3072430502265977</v>
      </c>
      <c r="Q42" s="682">
        <v>1106.8965643539875</v>
      </c>
      <c r="R42" s="352"/>
      <c r="S42" s="352"/>
    </row>
    <row r="43" spans="1:19" s="148" customFormat="1" ht="16.5" customHeight="1">
      <c r="A43" s="872"/>
      <c r="B43" s="440" t="s">
        <v>426</v>
      </c>
      <c r="C43" s="672">
        <v>21846.086171617131</v>
      </c>
      <c r="D43" s="672">
        <v>2288.0066650142107</v>
      </c>
      <c r="E43" s="682">
        <v>36696.238967598671</v>
      </c>
      <c r="F43" s="682">
        <v>333.950699451731</v>
      </c>
      <c r="G43" s="682">
        <v>1085.5125094299533</v>
      </c>
      <c r="H43" s="682">
        <v>37.238493014154066</v>
      </c>
      <c r="I43" s="682">
        <v>1067.4174840169649</v>
      </c>
      <c r="J43" s="668">
        <v>63354.440990142815</v>
      </c>
      <c r="K43" s="672">
        <v>21382.338917704499</v>
      </c>
      <c r="L43" s="672">
        <v>7719.374220805139</v>
      </c>
      <c r="M43" s="682">
        <v>30944.462766572982</v>
      </c>
      <c r="N43" s="682">
        <v>397.74128785244636</v>
      </c>
      <c r="O43" s="682">
        <v>1171.7607428206718</v>
      </c>
      <c r="P43" s="682">
        <v>4.7271445146151416</v>
      </c>
      <c r="Q43" s="682">
        <v>1733.9808062818092</v>
      </c>
      <c r="R43" s="352"/>
      <c r="S43" s="352"/>
    </row>
    <row r="44" spans="1:19" ht="20.25" customHeight="1">
      <c r="A44" s="253"/>
      <c r="B44" s="380"/>
      <c r="C44" s="380"/>
      <c r="D44" s="380"/>
      <c r="E44" s="380"/>
      <c r="F44" s="380"/>
      <c r="G44" s="380"/>
      <c r="H44" s="380"/>
      <c r="I44" s="380"/>
      <c r="J44" s="380"/>
      <c r="K44" s="380"/>
      <c r="L44" s="380"/>
      <c r="M44" s="380"/>
      <c r="N44" s="380"/>
      <c r="O44" s="380"/>
      <c r="P44" s="380"/>
      <c r="Q44" s="252"/>
    </row>
    <row r="45" spans="1:19" ht="14.25">
      <c r="A45" s="306"/>
      <c r="Q45" s="365"/>
    </row>
    <row r="46" spans="1:19" ht="14.25">
      <c r="A46" s="306"/>
      <c r="Q46" s="365"/>
    </row>
    <row r="47" spans="1:19" s="180" customFormat="1" ht="15">
      <c r="A47" s="276" t="s">
        <v>1057</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B12" sqref="B12"/>
    </sheetView>
  </sheetViews>
  <sheetFormatPr defaultColWidth="9.140625" defaultRowHeight="12.75"/>
  <cols>
    <col min="1" max="1" width="31.7109375" style="1688" customWidth="1"/>
    <col min="2" max="11" width="8.7109375" style="1688" customWidth="1"/>
    <col min="12" max="12" width="8.7109375" style="1692" customWidth="1"/>
    <col min="13" max="15" width="8.7109375" style="1688" customWidth="1"/>
    <col min="16" max="16" width="9.42578125" style="1688" customWidth="1"/>
    <col min="17" max="17" width="9.28515625" style="1688" customWidth="1"/>
    <col min="18" max="18" width="31.7109375" style="1688" customWidth="1"/>
    <col min="19" max="19" width="5.7109375" style="1688" customWidth="1"/>
    <col min="20" max="23" width="9.140625" style="1688" hidden="1" customWidth="1"/>
    <col min="24" max="24" width="11.140625" style="1688" hidden="1" customWidth="1"/>
    <col min="25" max="25" width="9.140625" style="1688" hidden="1" customWidth="1"/>
    <col min="26" max="26" width="9.140625" style="1688" customWidth="1"/>
    <col min="27" max="16384" width="9.140625" style="1688"/>
  </cols>
  <sheetData>
    <row r="1" spans="1:25" s="381" customFormat="1" ht="21.2" customHeight="1">
      <c r="A1" s="277" t="s">
        <v>1758</v>
      </c>
      <c r="B1" s="382"/>
      <c r="C1" s="382"/>
      <c r="D1" s="382"/>
      <c r="E1" s="382"/>
      <c r="F1" s="382"/>
      <c r="G1" s="382"/>
      <c r="H1" s="382"/>
      <c r="I1" s="382"/>
      <c r="J1" s="382"/>
      <c r="K1" s="382"/>
      <c r="L1" s="1689"/>
      <c r="M1" s="382"/>
      <c r="N1" s="382"/>
      <c r="O1" s="382"/>
      <c r="P1" s="382"/>
      <c r="Q1" s="382"/>
      <c r="R1" s="382"/>
    </row>
    <row r="2" spans="1:25" s="381" customFormat="1" ht="21.2" customHeight="1">
      <c r="A2" s="1690" t="s">
        <v>1723</v>
      </c>
      <c r="B2" s="382"/>
      <c r="C2" s="382"/>
      <c r="D2" s="382"/>
      <c r="E2" s="382"/>
      <c r="F2" s="382"/>
      <c r="G2" s="382"/>
      <c r="H2" s="382"/>
      <c r="I2" s="382"/>
      <c r="J2" s="382"/>
      <c r="K2" s="382"/>
      <c r="L2" s="1689"/>
      <c r="M2" s="382"/>
      <c r="N2" s="382"/>
      <c r="O2" s="382"/>
      <c r="P2" s="382"/>
      <c r="Q2" s="382"/>
      <c r="R2" s="382"/>
    </row>
    <row r="3" spans="1:25" s="381" customFormat="1" ht="21.2" customHeight="1">
      <c r="A3" s="277" t="s">
        <v>1722</v>
      </c>
      <c r="B3" s="382"/>
      <c r="C3" s="382"/>
      <c r="D3" s="382"/>
      <c r="E3" s="382"/>
      <c r="F3" s="382"/>
      <c r="G3" s="382"/>
      <c r="H3" s="382"/>
      <c r="I3" s="382"/>
      <c r="J3" s="382"/>
      <c r="K3" s="382"/>
      <c r="L3" s="1689"/>
      <c r="M3" s="382"/>
      <c r="N3" s="382"/>
      <c r="O3" s="382"/>
      <c r="P3" s="382"/>
      <c r="Q3" s="382"/>
      <c r="R3" s="382"/>
    </row>
    <row r="4" spans="1:25" s="381" customFormat="1" ht="21.2" customHeight="1">
      <c r="A4" s="277" t="s">
        <v>376</v>
      </c>
      <c r="B4" s="382"/>
      <c r="C4" s="382"/>
      <c r="D4" s="382"/>
      <c r="E4" s="382"/>
      <c r="F4" s="382"/>
      <c r="G4" s="382"/>
      <c r="H4" s="382"/>
      <c r="I4" s="382"/>
      <c r="J4" s="382"/>
      <c r="K4" s="382"/>
      <c r="L4" s="1689"/>
      <c r="M4" s="382"/>
      <c r="N4" s="382"/>
      <c r="O4" s="382"/>
      <c r="P4" s="382"/>
      <c r="Q4" s="382"/>
      <c r="R4" s="382"/>
    </row>
    <row r="5" spans="1:25" s="381" customFormat="1" ht="21.2" customHeight="1">
      <c r="A5" s="277" t="s">
        <v>375</v>
      </c>
      <c r="B5" s="382"/>
      <c r="C5" s="382"/>
      <c r="D5" s="382"/>
      <c r="E5" s="382"/>
      <c r="F5" s="382"/>
      <c r="G5" s="382"/>
      <c r="H5" s="382"/>
      <c r="I5" s="382"/>
      <c r="J5" s="382"/>
      <c r="K5" s="382"/>
      <c r="L5" s="1689"/>
      <c r="M5" s="382"/>
      <c r="N5" s="382"/>
      <c r="O5" s="382"/>
      <c r="P5" s="382"/>
      <c r="Q5" s="382"/>
      <c r="R5" s="382"/>
    </row>
    <row r="6" spans="1:25" s="381" customFormat="1" ht="21.2" hidden="1" customHeight="1">
      <c r="A6" s="277"/>
      <c r="B6" s="382"/>
      <c r="C6" s="382"/>
      <c r="D6" s="382"/>
      <c r="E6" s="382"/>
      <c r="F6" s="382"/>
      <c r="G6" s="382"/>
      <c r="H6" s="382"/>
      <c r="I6" s="382"/>
      <c r="J6" s="382"/>
      <c r="K6" s="382"/>
      <c r="L6" s="1689"/>
      <c r="M6" s="382"/>
      <c r="N6" s="382"/>
      <c r="O6" s="382"/>
      <c r="P6" s="382"/>
      <c r="Q6" s="382"/>
      <c r="R6" s="382"/>
    </row>
    <row r="7" spans="1:25" s="381" customFormat="1" ht="21.2" hidden="1" customHeight="1">
      <c r="A7" s="277"/>
      <c r="B7" s="382"/>
      <c r="C7" s="382"/>
      <c r="D7" s="382"/>
      <c r="E7" s="382"/>
      <c r="F7" s="382"/>
      <c r="G7" s="382"/>
      <c r="H7" s="382"/>
      <c r="I7" s="382"/>
      <c r="J7" s="382"/>
      <c r="K7" s="382"/>
      <c r="L7" s="1689"/>
      <c r="M7" s="382"/>
      <c r="N7" s="382"/>
      <c r="O7" s="382"/>
      <c r="P7" s="382"/>
      <c r="Q7" s="382"/>
      <c r="R7" s="382"/>
    </row>
    <row r="8" spans="1:25" s="381" customFormat="1" ht="4.7" customHeight="1">
      <c r="A8" s="277"/>
      <c r="B8" s="382"/>
      <c r="C8" s="382"/>
      <c r="D8" s="382"/>
      <c r="E8" s="382"/>
      <c r="F8" s="382"/>
      <c r="G8" s="382"/>
      <c r="H8" s="382"/>
      <c r="I8" s="382"/>
      <c r="J8" s="382"/>
      <c r="K8" s="382"/>
      <c r="L8" s="1689"/>
      <c r="M8" s="382"/>
      <c r="N8" s="382"/>
      <c r="O8" s="382"/>
      <c r="P8" s="382"/>
      <c r="Q8" s="382"/>
      <c r="R8" s="382"/>
    </row>
    <row r="9" spans="1:25" s="1688" customFormat="1" ht="15">
      <c r="A9" s="1691" t="s">
        <v>756</v>
      </c>
      <c r="L9" s="1692"/>
      <c r="R9" s="1693" t="s">
        <v>757</v>
      </c>
    </row>
    <row r="10" spans="1:25" s="1688" customFormat="1" ht="14.25" customHeight="1">
      <c r="A10" s="1694" t="s">
        <v>1058</v>
      </c>
      <c r="B10" s="1695" t="s">
        <v>1059</v>
      </c>
      <c r="C10" s="1696"/>
      <c r="D10" s="1696"/>
      <c r="E10" s="1696"/>
      <c r="F10" s="1697"/>
      <c r="G10" s="1698" t="s">
        <v>1060</v>
      </c>
      <c r="H10" s="1699"/>
      <c r="I10" s="1699"/>
      <c r="J10" s="1699"/>
      <c r="K10" s="1700"/>
      <c r="L10" s="1701" t="s">
        <v>1061</v>
      </c>
      <c r="M10" s="1699"/>
      <c r="N10" s="1699"/>
      <c r="O10" s="1699"/>
      <c r="P10" s="1700"/>
      <c r="Q10" s="1702" t="s">
        <v>1062</v>
      </c>
      <c r="R10" s="1694" t="s">
        <v>1063</v>
      </c>
    </row>
    <row r="11" spans="1:25" s="1688" customFormat="1" ht="14.25" customHeight="1">
      <c r="A11" s="1703"/>
      <c r="B11" s="1704" t="s">
        <v>1064</v>
      </c>
      <c r="C11" s="1705"/>
      <c r="D11" s="1705"/>
      <c r="E11" s="1705"/>
      <c r="F11" s="1705"/>
      <c r="G11" s="1704" t="s">
        <v>1065</v>
      </c>
      <c r="H11" s="1705"/>
      <c r="I11" s="1705"/>
      <c r="J11" s="1705"/>
      <c r="K11" s="1706"/>
      <c r="L11" s="1707" t="s">
        <v>1066</v>
      </c>
      <c r="M11" s="1708"/>
      <c r="N11" s="1708"/>
      <c r="O11" s="1708"/>
      <c r="P11" s="1709"/>
      <c r="Q11" s="1710"/>
      <c r="R11" s="1703"/>
    </row>
    <row r="12" spans="1:25" s="1688" customFormat="1" ht="14.25" customHeight="1">
      <c r="A12" s="1703"/>
      <c r="B12" s="1698" t="s">
        <v>1067</v>
      </c>
      <c r="C12" s="1699"/>
      <c r="D12" s="1698" t="s">
        <v>1068</v>
      </c>
      <c r="E12" s="1700"/>
      <c r="F12" s="1711" t="s">
        <v>386</v>
      </c>
      <c r="G12" s="1698" t="s">
        <v>1067</v>
      </c>
      <c r="H12" s="1699"/>
      <c r="I12" s="1698" t="s">
        <v>1068</v>
      </c>
      <c r="J12" s="1700"/>
      <c r="K12" s="1711" t="s">
        <v>386</v>
      </c>
      <c r="L12" s="1701" t="s">
        <v>1067</v>
      </c>
      <c r="M12" s="1699"/>
      <c r="N12" s="1698" t="s">
        <v>1068</v>
      </c>
      <c r="O12" s="1700"/>
      <c r="P12" s="1711" t="s">
        <v>386</v>
      </c>
      <c r="Q12" s="1710"/>
      <c r="R12" s="1703"/>
    </row>
    <row r="13" spans="1:25" s="1688" customFormat="1" ht="14.25" customHeight="1">
      <c r="A13" s="1703"/>
      <c r="B13" s="1712" t="s">
        <v>1069</v>
      </c>
      <c r="C13" s="1713"/>
      <c r="D13" s="1712" t="s">
        <v>1070</v>
      </c>
      <c r="E13" s="1714"/>
      <c r="F13" s="1715"/>
      <c r="G13" s="1712" t="s">
        <v>1069</v>
      </c>
      <c r="H13" s="1713"/>
      <c r="I13" s="1712" t="s">
        <v>1070</v>
      </c>
      <c r="J13" s="1714"/>
      <c r="K13" s="1715"/>
      <c r="L13" s="1716" t="s">
        <v>1069</v>
      </c>
      <c r="M13" s="1713"/>
      <c r="N13" s="1712" t="s">
        <v>1070</v>
      </c>
      <c r="O13" s="1714"/>
      <c r="P13" s="1715"/>
      <c r="Q13" s="1717" t="s">
        <v>737</v>
      </c>
      <c r="R13" s="1703"/>
    </row>
    <row r="14" spans="1:25" s="1688" customFormat="1" ht="14.25" customHeight="1">
      <c r="A14" s="1703"/>
      <c r="B14" s="1718" t="s">
        <v>477</v>
      </c>
      <c r="C14" s="1718" t="s">
        <v>1071</v>
      </c>
      <c r="D14" s="1718" t="s">
        <v>477</v>
      </c>
      <c r="E14" s="1718" t="s">
        <v>1071</v>
      </c>
      <c r="F14" s="1719" t="s">
        <v>397</v>
      </c>
      <c r="G14" s="1718" t="s">
        <v>477</v>
      </c>
      <c r="H14" s="1718" t="s">
        <v>1071</v>
      </c>
      <c r="I14" s="1718" t="s">
        <v>477</v>
      </c>
      <c r="J14" s="1718" t="s">
        <v>1071</v>
      </c>
      <c r="K14" s="1719" t="s">
        <v>397</v>
      </c>
      <c r="L14" s="1720" t="s">
        <v>477</v>
      </c>
      <c r="M14" s="1718" t="s">
        <v>1071</v>
      </c>
      <c r="N14" s="1718" t="s">
        <v>477</v>
      </c>
      <c r="O14" s="1718" t="s">
        <v>1071</v>
      </c>
      <c r="P14" s="1719" t="s">
        <v>397</v>
      </c>
      <c r="Q14" s="1710"/>
      <c r="R14" s="1703"/>
    </row>
    <row r="15" spans="1:25" s="1688" customFormat="1" ht="14.25" customHeight="1">
      <c r="A15" s="1721"/>
      <c r="B15" s="1722" t="s">
        <v>149</v>
      </c>
      <c r="C15" s="1722" t="s">
        <v>1072</v>
      </c>
      <c r="D15" s="1722" t="s">
        <v>149</v>
      </c>
      <c r="E15" s="1723" t="s">
        <v>1072</v>
      </c>
      <c r="F15" s="1724"/>
      <c r="G15" s="1722" t="s">
        <v>149</v>
      </c>
      <c r="H15" s="1722" t="s">
        <v>1072</v>
      </c>
      <c r="I15" s="1722" t="s">
        <v>149</v>
      </c>
      <c r="J15" s="1723" t="s">
        <v>1072</v>
      </c>
      <c r="K15" s="1724"/>
      <c r="L15" s="1725" t="s">
        <v>149</v>
      </c>
      <c r="M15" s="1722" t="s">
        <v>1072</v>
      </c>
      <c r="N15" s="1722" t="s">
        <v>149</v>
      </c>
      <c r="O15" s="1723" t="s">
        <v>1072</v>
      </c>
      <c r="P15" s="1724"/>
      <c r="Q15" s="1726"/>
      <c r="R15" s="1721"/>
      <c r="T15" s="1692">
        <f>$T$16-SUM($T$17:$T$33)</f>
        <v>0</v>
      </c>
      <c r="U15" s="1692">
        <f>$U$16-SUM($U$17:$U$33)</f>
        <v>0</v>
      </c>
      <c r="V15" s="1692">
        <f>$V$16-SUM($V$17:$V$33)</f>
        <v>0</v>
      </c>
      <c r="W15" s="1692">
        <f>$W$16-SUM($W$17:$W$33)</f>
        <v>0</v>
      </c>
      <c r="X15" s="1692">
        <f>$X$16-SUM($X$17:$X$33)</f>
        <v>0</v>
      </c>
      <c r="Y15" s="1692"/>
    </row>
    <row r="16" spans="1:25" s="1688" customFormat="1" ht="28.5" customHeight="1">
      <c r="A16" s="1727" t="s">
        <v>397</v>
      </c>
      <c r="B16" s="669">
        <v>171.80851063829786</v>
      </c>
      <c r="C16" s="669">
        <v>260.35382373404252</v>
      </c>
      <c r="D16" s="669">
        <v>0</v>
      </c>
      <c r="E16" s="669">
        <v>200.7087623029787</v>
      </c>
      <c r="F16" s="669">
        <v>632.871096675319</v>
      </c>
      <c r="G16" s="669">
        <v>12127.760799008265</v>
      </c>
      <c r="H16" s="669">
        <v>4970.0090688127466</v>
      </c>
      <c r="I16" s="669">
        <v>36.199072575266932</v>
      </c>
      <c r="J16" s="669">
        <v>7110.1648616881766</v>
      </c>
      <c r="K16" s="669">
        <v>24244.233802084455</v>
      </c>
      <c r="L16" s="669">
        <v>9348.0584620520549</v>
      </c>
      <c r="M16" s="669">
        <v>8061.6390454483853</v>
      </c>
      <c r="N16" s="669">
        <v>40.376618174634203</v>
      </c>
      <c r="O16" s="669">
        <v>20102.892645945358</v>
      </c>
      <c r="P16" s="669">
        <v>37552.996771620434</v>
      </c>
      <c r="Q16" s="669">
        <v>62430.101670380202</v>
      </c>
      <c r="R16" s="1728" t="s">
        <v>386</v>
      </c>
      <c r="S16" s="1692"/>
      <c r="T16" s="1692">
        <f>ROUND(B16,1)</f>
        <v>171.8</v>
      </c>
      <c r="U16" s="1692">
        <f t="shared" ref="U16:X16" si="0">ROUND(C16,1)</f>
        <v>260.39999999999998</v>
      </c>
      <c r="V16" s="1692">
        <f t="shared" si="0"/>
        <v>0</v>
      </c>
      <c r="W16" s="1692">
        <f t="shared" si="0"/>
        <v>200.7</v>
      </c>
      <c r="X16" s="1729">
        <f t="shared" si="0"/>
        <v>632.9</v>
      </c>
      <c r="Y16" s="1692">
        <f>ROUND(X16,1)-ROUND(W16,1)-ROUND(V16,1)-ROUND(U16,1)-ROUND(T16,1)</f>
        <v>0</v>
      </c>
    </row>
    <row r="17" spans="1:25" s="1688" customFormat="1" ht="32.85" customHeight="1">
      <c r="A17" s="1730" t="s">
        <v>1073</v>
      </c>
      <c r="B17" s="669">
        <v>0</v>
      </c>
      <c r="C17" s="669">
        <v>0</v>
      </c>
      <c r="D17" s="669">
        <v>0</v>
      </c>
      <c r="E17" s="669">
        <v>0</v>
      </c>
      <c r="F17" s="669">
        <v>0</v>
      </c>
      <c r="G17" s="669">
        <v>276.06382978723406</v>
      </c>
      <c r="H17" s="669">
        <v>88.919805049069154</v>
      </c>
      <c r="I17" s="669">
        <v>5.3191491489361695E-9</v>
      </c>
      <c r="J17" s="669">
        <v>359.85769644026971</v>
      </c>
      <c r="K17" s="669">
        <v>724.86133128189203</v>
      </c>
      <c r="L17" s="1231">
        <v>232.75290690747926</v>
      </c>
      <c r="M17" s="669">
        <v>145.43580019711106</v>
      </c>
      <c r="N17" s="669">
        <v>-5.3191491489361695E-9</v>
      </c>
      <c r="O17" s="669">
        <v>204.06750686291235</v>
      </c>
      <c r="P17" s="669">
        <v>582.25621396218355</v>
      </c>
      <c r="Q17" s="669">
        <v>1307.1575452440757</v>
      </c>
      <c r="R17" s="1731" t="s">
        <v>1074</v>
      </c>
      <c r="S17" s="1692"/>
      <c r="T17" s="1692">
        <f t="shared" ref="T17:T33" si="1">ROUND(B17,1)</f>
        <v>0</v>
      </c>
      <c r="U17" s="1692">
        <f t="shared" ref="U17:U33" si="2">ROUND(C17,1)</f>
        <v>0</v>
      </c>
      <c r="V17" s="1692">
        <f t="shared" ref="V17:V33" si="3">ROUND(D17,1)</f>
        <v>0</v>
      </c>
      <c r="W17" s="1692">
        <f t="shared" ref="W17:W33" si="4">ROUND(E17,1)</f>
        <v>0</v>
      </c>
      <c r="X17" s="1729">
        <f t="shared" ref="X17:X33" si="5">ROUND(F17,1)</f>
        <v>0</v>
      </c>
      <c r="Y17" s="1692">
        <f t="shared" ref="Y17:Y33" si="6">ROUND(X17,1)-ROUND(W17,1)-ROUND(V17,1)-ROUND(U17,1)-ROUND(T17,1)</f>
        <v>0</v>
      </c>
    </row>
    <row r="18" spans="1:25" s="1688" customFormat="1" ht="17.25" customHeight="1">
      <c r="A18" s="1732" t="s">
        <v>1075</v>
      </c>
      <c r="B18" s="669">
        <v>0</v>
      </c>
      <c r="C18" s="669">
        <v>0</v>
      </c>
      <c r="D18" s="669">
        <v>0</v>
      </c>
      <c r="E18" s="669">
        <v>0</v>
      </c>
      <c r="F18" s="669">
        <v>0</v>
      </c>
      <c r="G18" s="669">
        <v>215.61278227127659</v>
      </c>
      <c r="H18" s="669">
        <v>1298.8006503625002</v>
      </c>
      <c r="I18" s="669">
        <v>0</v>
      </c>
      <c r="J18" s="669">
        <v>2927.9327131640571</v>
      </c>
      <c r="K18" s="669">
        <v>4442.3461457978337</v>
      </c>
      <c r="L18" s="1231">
        <v>1670.7661339050519</v>
      </c>
      <c r="M18" s="669">
        <v>4940.0277448486868</v>
      </c>
      <c r="N18" s="669">
        <v>0</v>
      </c>
      <c r="O18" s="669">
        <v>6996.7065759436</v>
      </c>
      <c r="P18" s="669">
        <v>13607.50045469734</v>
      </c>
      <c r="Q18" s="669">
        <v>18049.846600495173</v>
      </c>
      <c r="R18" s="1733" t="s">
        <v>1076</v>
      </c>
      <c r="S18" s="1692"/>
      <c r="T18" s="1692">
        <f t="shared" si="1"/>
        <v>0</v>
      </c>
      <c r="U18" s="1692">
        <f t="shared" si="2"/>
        <v>0</v>
      </c>
      <c r="V18" s="1692">
        <f t="shared" si="3"/>
        <v>0</v>
      </c>
      <c r="W18" s="1692">
        <f t="shared" si="4"/>
        <v>0</v>
      </c>
      <c r="X18" s="1729">
        <f t="shared" si="5"/>
        <v>0</v>
      </c>
      <c r="Y18" s="1692">
        <f t="shared" si="6"/>
        <v>0</v>
      </c>
    </row>
    <row r="19" spans="1:25" s="1688" customFormat="1" ht="17.45" customHeight="1">
      <c r="A19" s="1732" t="s">
        <v>1077</v>
      </c>
      <c r="B19" s="669">
        <v>171.80851063829786</v>
      </c>
      <c r="C19" s="669">
        <v>146.52403649999999</v>
      </c>
      <c r="D19" s="669">
        <v>0</v>
      </c>
      <c r="E19" s="669">
        <v>154.18620911148938</v>
      </c>
      <c r="F19" s="669">
        <v>472.49875624978722</v>
      </c>
      <c r="G19" s="669">
        <v>5481.0737015351624</v>
      </c>
      <c r="H19" s="669">
        <v>1837.7060889031725</v>
      </c>
      <c r="I19" s="669">
        <v>3.1338162535917027</v>
      </c>
      <c r="J19" s="669">
        <v>2412.2982378239312</v>
      </c>
      <c r="K19" s="669">
        <v>9734.2118445158576</v>
      </c>
      <c r="L19" s="1231">
        <v>2524.0114003268068</v>
      </c>
      <c r="M19" s="669">
        <v>1562.0706973819033</v>
      </c>
      <c r="N19" s="669">
        <v>0.28726170973104359</v>
      </c>
      <c r="O19" s="669">
        <v>1487.3141223849668</v>
      </c>
      <c r="P19" s="669">
        <v>5573.6834818034076</v>
      </c>
      <c r="Q19" s="669">
        <v>15780.394082569052</v>
      </c>
      <c r="R19" s="1733" t="s">
        <v>1078</v>
      </c>
      <c r="S19" s="1692"/>
      <c r="T19" s="1692">
        <f t="shared" si="1"/>
        <v>171.8</v>
      </c>
      <c r="U19" s="1692">
        <f t="shared" si="2"/>
        <v>146.5</v>
      </c>
      <c r="V19" s="1692">
        <f t="shared" si="3"/>
        <v>0</v>
      </c>
      <c r="W19" s="1692">
        <f t="shared" si="4"/>
        <v>154.19999999999999</v>
      </c>
      <c r="X19" s="1729">
        <f t="shared" si="5"/>
        <v>472.5</v>
      </c>
      <c r="Y19" s="1692">
        <f t="shared" si="6"/>
        <v>0</v>
      </c>
    </row>
    <row r="20" spans="1:25" s="1688" customFormat="1" ht="17.45" customHeight="1">
      <c r="A20" s="1732" t="s">
        <v>1079</v>
      </c>
      <c r="B20" s="669">
        <v>0</v>
      </c>
      <c r="C20" s="669">
        <v>0</v>
      </c>
      <c r="D20" s="669">
        <v>0</v>
      </c>
      <c r="E20" s="669">
        <v>9.0425531914893611</v>
      </c>
      <c r="F20" s="669">
        <v>9.0425531914893611</v>
      </c>
      <c r="G20" s="669">
        <v>4292.6631074463139</v>
      </c>
      <c r="H20" s="669">
        <v>595.39978721502814</v>
      </c>
      <c r="I20" s="669">
        <v>16.73404719265033</v>
      </c>
      <c r="J20" s="669">
        <v>298.97907113659136</v>
      </c>
      <c r="K20" s="669">
        <v>5203.7760129905837</v>
      </c>
      <c r="L20" s="1231">
        <v>1231.7434311763991</v>
      </c>
      <c r="M20" s="669">
        <v>291.08026913341729</v>
      </c>
      <c r="N20" s="669">
        <v>18.113268485533911</v>
      </c>
      <c r="O20" s="669">
        <v>197.99816043448962</v>
      </c>
      <c r="P20" s="669">
        <v>1738.9351292298397</v>
      </c>
      <c r="Q20" s="669">
        <v>6951.743695411913</v>
      </c>
      <c r="R20" s="1733" t="s">
        <v>1080</v>
      </c>
      <c r="S20" s="1692"/>
      <c r="T20" s="1692">
        <f t="shared" si="1"/>
        <v>0</v>
      </c>
      <c r="U20" s="1692">
        <f t="shared" si="2"/>
        <v>0</v>
      </c>
      <c r="V20" s="1692">
        <f t="shared" si="3"/>
        <v>0</v>
      </c>
      <c r="W20" s="1692">
        <f t="shared" si="4"/>
        <v>9</v>
      </c>
      <c r="X20" s="1729">
        <f t="shared" si="5"/>
        <v>9</v>
      </c>
      <c r="Y20" s="1692">
        <f t="shared" si="6"/>
        <v>0</v>
      </c>
    </row>
    <row r="21" spans="1:25" s="1688" customFormat="1" ht="17.45" customHeight="1">
      <c r="A21" s="1732" t="s">
        <v>1081</v>
      </c>
      <c r="B21" s="669">
        <v>0</v>
      </c>
      <c r="C21" s="669">
        <v>0</v>
      </c>
      <c r="D21" s="669">
        <v>0</v>
      </c>
      <c r="E21" s="669">
        <v>0</v>
      </c>
      <c r="F21" s="669">
        <v>0</v>
      </c>
      <c r="G21" s="669">
        <v>0</v>
      </c>
      <c r="H21" s="669">
        <v>0</v>
      </c>
      <c r="I21" s="669">
        <v>0</v>
      </c>
      <c r="J21" s="669">
        <v>0</v>
      </c>
      <c r="K21" s="669">
        <v>0</v>
      </c>
      <c r="L21" s="1231">
        <v>0</v>
      </c>
      <c r="M21" s="669">
        <v>0</v>
      </c>
      <c r="N21" s="669">
        <v>0</v>
      </c>
      <c r="O21" s="669">
        <v>0</v>
      </c>
      <c r="P21" s="669">
        <v>0</v>
      </c>
      <c r="Q21" s="669">
        <v>0</v>
      </c>
      <c r="R21" s="1733" t="s">
        <v>1082</v>
      </c>
      <c r="S21" s="1692"/>
      <c r="T21" s="1692">
        <f t="shared" si="1"/>
        <v>0</v>
      </c>
      <c r="U21" s="1692">
        <f t="shared" si="2"/>
        <v>0</v>
      </c>
      <c r="V21" s="1692">
        <f t="shared" si="3"/>
        <v>0</v>
      </c>
      <c r="W21" s="1692">
        <f t="shared" si="4"/>
        <v>0</v>
      </c>
      <c r="X21" s="1729">
        <f t="shared" si="5"/>
        <v>0</v>
      </c>
      <c r="Y21" s="1692">
        <f t="shared" si="6"/>
        <v>0</v>
      </c>
    </row>
    <row r="22" spans="1:25" s="1688" customFormat="1" ht="17.25" customHeight="1">
      <c r="A22" s="1732" t="s">
        <v>1083</v>
      </c>
      <c r="B22" s="669">
        <v>0</v>
      </c>
      <c r="C22" s="669">
        <v>113.85978723404254</v>
      </c>
      <c r="D22" s="669">
        <v>0</v>
      </c>
      <c r="E22" s="669">
        <v>2.6595744680851063</v>
      </c>
      <c r="F22" s="669">
        <v>116.55936170212765</v>
      </c>
      <c r="G22" s="669">
        <v>787.90499101990292</v>
      </c>
      <c r="H22" s="669">
        <v>530.84307383416376</v>
      </c>
      <c r="I22" s="669">
        <v>5.515930937099605</v>
      </c>
      <c r="J22" s="669">
        <v>71.159004024042602</v>
      </c>
      <c r="K22" s="669">
        <v>1395.4329998152089</v>
      </c>
      <c r="L22" s="1231">
        <v>342.28723404255322</v>
      </c>
      <c r="M22" s="790">
        <v>35.106382978723403</v>
      </c>
      <c r="N22" s="790">
        <v>0</v>
      </c>
      <c r="O22" s="790">
        <v>641.31210756814721</v>
      </c>
      <c r="P22" s="669">
        <v>1018.7057245894239</v>
      </c>
      <c r="Q22" s="669">
        <v>2530.6580861067605</v>
      </c>
      <c r="R22" s="1733" t="s">
        <v>1084</v>
      </c>
      <c r="S22" s="1692"/>
      <c r="T22" s="1692">
        <f t="shared" si="1"/>
        <v>0</v>
      </c>
      <c r="U22" s="1692">
        <f t="shared" si="2"/>
        <v>113.9</v>
      </c>
      <c r="V22" s="1692">
        <f t="shared" si="3"/>
        <v>0</v>
      </c>
      <c r="W22" s="1692">
        <f t="shared" si="4"/>
        <v>2.7</v>
      </c>
      <c r="X22" s="1729">
        <f t="shared" si="5"/>
        <v>116.6</v>
      </c>
      <c r="Y22" s="1692">
        <f t="shared" si="6"/>
        <v>-1.4210854715202004E-14</v>
      </c>
    </row>
    <row r="23" spans="1:25" s="1688" customFormat="1" ht="17.45" customHeight="1">
      <c r="A23" s="1732" t="s">
        <v>1085</v>
      </c>
      <c r="B23" s="669">
        <v>0</v>
      </c>
      <c r="C23" s="669">
        <v>0</v>
      </c>
      <c r="D23" s="669">
        <v>0</v>
      </c>
      <c r="E23" s="669">
        <v>2.3936170212765959</v>
      </c>
      <c r="F23" s="669">
        <v>2.3936170212765959</v>
      </c>
      <c r="G23" s="669">
        <v>124.32471113829786</v>
      </c>
      <c r="H23" s="669">
        <v>0</v>
      </c>
      <c r="I23" s="669">
        <v>10.632782117021275</v>
      </c>
      <c r="J23" s="669">
        <v>4.5174622764100425</v>
      </c>
      <c r="K23" s="669">
        <v>139.44495553172916</v>
      </c>
      <c r="L23" s="1231">
        <v>174.46808510638297</v>
      </c>
      <c r="M23" s="669">
        <v>0</v>
      </c>
      <c r="N23" s="669">
        <v>0</v>
      </c>
      <c r="O23" s="669">
        <v>1.0430739235899575</v>
      </c>
      <c r="P23" s="669">
        <v>175.51115902997293</v>
      </c>
      <c r="Q23" s="669">
        <v>317.3297315829787</v>
      </c>
      <c r="R23" s="1733" t="s">
        <v>1086</v>
      </c>
      <c r="S23" s="1692"/>
      <c r="T23" s="1692">
        <f t="shared" si="1"/>
        <v>0</v>
      </c>
      <c r="U23" s="1692">
        <f t="shared" si="2"/>
        <v>0</v>
      </c>
      <c r="V23" s="1692">
        <f t="shared" si="3"/>
        <v>0</v>
      </c>
      <c r="W23" s="1692">
        <f t="shared" si="4"/>
        <v>2.4</v>
      </c>
      <c r="X23" s="1729">
        <f t="shared" si="5"/>
        <v>2.4</v>
      </c>
      <c r="Y23" s="1692">
        <f t="shared" si="6"/>
        <v>0</v>
      </c>
    </row>
    <row r="24" spans="1:25" s="1688" customFormat="1" ht="17.45" customHeight="1">
      <c r="A24" s="1732" t="s">
        <v>1087</v>
      </c>
      <c r="B24" s="669">
        <v>0</v>
      </c>
      <c r="C24" s="669">
        <v>0</v>
      </c>
      <c r="D24" s="669">
        <v>0</v>
      </c>
      <c r="E24" s="669">
        <v>0</v>
      </c>
      <c r="F24" s="669">
        <v>0</v>
      </c>
      <c r="G24" s="669">
        <v>0</v>
      </c>
      <c r="H24" s="669">
        <v>0</v>
      </c>
      <c r="I24" s="669">
        <v>0</v>
      </c>
      <c r="J24" s="669">
        <v>0</v>
      </c>
      <c r="K24" s="669">
        <v>0</v>
      </c>
      <c r="L24" s="1231">
        <v>0</v>
      </c>
      <c r="M24" s="669">
        <v>0</v>
      </c>
      <c r="N24" s="669">
        <v>0</v>
      </c>
      <c r="O24" s="669">
        <v>0</v>
      </c>
      <c r="P24" s="669">
        <v>0</v>
      </c>
      <c r="Q24" s="669">
        <v>0</v>
      </c>
      <c r="R24" s="1733" t="s">
        <v>1088</v>
      </c>
      <c r="S24" s="1692"/>
      <c r="T24" s="1692">
        <f t="shared" si="1"/>
        <v>0</v>
      </c>
      <c r="U24" s="1692">
        <f t="shared" si="2"/>
        <v>0</v>
      </c>
      <c r="V24" s="1692">
        <f t="shared" si="3"/>
        <v>0</v>
      </c>
      <c r="W24" s="1692">
        <f t="shared" si="4"/>
        <v>0</v>
      </c>
      <c r="X24" s="1729">
        <f t="shared" si="5"/>
        <v>0</v>
      </c>
      <c r="Y24" s="1692">
        <f t="shared" si="6"/>
        <v>0</v>
      </c>
    </row>
    <row r="25" spans="1:25" s="1688" customFormat="1" ht="17.45" customHeight="1">
      <c r="A25" s="1734" t="s">
        <v>1089</v>
      </c>
      <c r="B25" s="669">
        <v>0</v>
      </c>
      <c r="C25" s="669">
        <v>0.02</v>
      </c>
      <c r="D25" s="669">
        <v>0</v>
      </c>
      <c r="E25" s="669">
        <v>16.223404255319149</v>
      </c>
      <c r="F25" s="669">
        <v>16.223404255319149</v>
      </c>
      <c r="G25" s="669">
        <v>0</v>
      </c>
      <c r="H25" s="669">
        <v>0</v>
      </c>
      <c r="I25" s="669">
        <v>0</v>
      </c>
      <c r="J25" s="669">
        <v>0</v>
      </c>
      <c r="K25" s="669">
        <v>0</v>
      </c>
      <c r="L25" s="1231">
        <v>19.421415600000003</v>
      </c>
      <c r="M25" s="669">
        <v>0</v>
      </c>
      <c r="N25" s="669">
        <v>0</v>
      </c>
      <c r="O25" s="669">
        <v>0</v>
      </c>
      <c r="P25" s="669">
        <v>19.421415600000003</v>
      </c>
      <c r="Q25" s="669">
        <v>35.644819855319156</v>
      </c>
      <c r="R25" s="1733" t="s">
        <v>1090</v>
      </c>
      <c r="S25" s="1692"/>
      <c r="T25" s="1692">
        <f t="shared" si="1"/>
        <v>0</v>
      </c>
      <c r="U25" s="1692">
        <f t="shared" si="2"/>
        <v>0</v>
      </c>
      <c r="V25" s="1692">
        <f t="shared" si="3"/>
        <v>0</v>
      </c>
      <c r="W25" s="1692">
        <f t="shared" si="4"/>
        <v>16.2</v>
      </c>
      <c r="X25" s="1729">
        <f t="shared" si="5"/>
        <v>16.2</v>
      </c>
      <c r="Y25" s="1692">
        <f t="shared" si="6"/>
        <v>0</v>
      </c>
    </row>
    <row r="26" spans="1:25" s="1688" customFormat="1" ht="17.45" customHeight="1">
      <c r="A26" s="1734" t="s">
        <v>788</v>
      </c>
      <c r="B26" s="669">
        <v>0</v>
      </c>
      <c r="C26" s="669">
        <v>0</v>
      </c>
      <c r="D26" s="669">
        <v>0</v>
      </c>
      <c r="E26" s="669">
        <v>0</v>
      </c>
      <c r="F26" s="669">
        <v>0</v>
      </c>
      <c r="G26" s="669">
        <v>3.0005029796712552</v>
      </c>
      <c r="H26" s="669">
        <v>130.85862565558503</v>
      </c>
      <c r="I26" s="669">
        <v>2.1549466825561111E-3</v>
      </c>
      <c r="J26" s="669">
        <v>900.83703743271099</v>
      </c>
      <c r="K26" s="669">
        <v>1034.6983210146498</v>
      </c>
      <c r="L26" s="1231">
        <v>333.86839781913721</v>
      </c>
      <c r="M26" s="790">
        <v>77.387143854295815</v>
      </c>
      <c r="N26" s="790">
        <v>0.10205094515223061</v>
      </c>
      <c r="O26" s="790">
        <v>1875.7682543838223</v>
      </c>
      <c r="P26" s="669">
        <v>2287.1558470024079</v>
      </c>
      <c r="Q26" s="669">
        <v>3321.8741680170579</v>
      </c>
      <c r="R26" s="1735" t="s">
        <v>1091</v>
      </c>
      <c r="S26" s="1692"/>
      <c r="T26" s="1692">
        <f t="shared" si="1"/>
        <v>0</v>
      </c>
      <c r="U26" s="1692">
        <f t="shared" si="2"/>
        <v>0</v>
      </c>
      <c r="V26" s="1692">
        <f t="shared" si="3"/>
        <v>0</v>
      </c>
      <c r="W26" s="1692">
        <f t="shared" si="4"/>
        <v>0</v>
      </c>
      <c r="X26" s="1729">
        <f t="shared" si="5"/>
        <v>0</v>
      </c>
      <c r="Y26" s="1692">
        <f t="shared" si="6"/>
        <v>0</v>
      </c>
    </row>
    <row r="27" spans="1:25" s="1688" customFormat="1" ht="17.45" customHeight="1">
      <c r="A27" s="1734" t="s">
        <v>1092</v>
      </c>
      <c r="B27" s="669">
        <v>0</v>
      </c>
      <c r="C27" s="669">
        <v>0</v>
      </c>
      <c r="D27" s="669">
        <v>0</v>
      </c>
      <c r="E27" s="669">
        <v>0</v>
      </c>
      <c r="F27" s="669">
        <v>0</v>
      </c>
      <c r="G27" s="669">
        <v>0</v>
      </c>
      <c r="H27" s="669">
        <v>0</v>
      </c>
      <c r="I27" s="669">
        <v>0</v>
      </c>
      <c r="J27" s="669">
        <v>0</v>
      </c>
      <c r="K27" s="669">
        <v>0</v>
      </c>
      <c r="L27" s="1231">
        <v>0</v>
      </c>
      <c r="M27" s="669">
        <v>0</v>
      </c>
      <c r="N27" s="669">
        <v>0</v>
      </c>
      <c r="O27" s="669">
        <v>324</v>
      </c>
      <c r="P27" s="669">
        <v>324</v>
      </c>
      <c r="Q27" s="669">
        <v>324</v>
      </c>
      <c r="R27" s="1735" t="s">
        <v>1093</v>
      </c>
      <c r="S27" s="1692"/>
      <c r="T27" s="1692">
        <f t="shared" si="1"/>
        <v>0</v>
      </c>
      <c r="U27" s="1692">
        <f t="shared" si="2"/>
        <v>0</v>
      </c>
      <c r="V27" s="1692">
        <f t="shared" si="3"/>
        <v>0</v>
      </c>
      <c r="W27" s="1692">
        <f t="shared" si="4"/>
        <v>0</v>
      </c>
      <c r="X27" s="1729">
        <f t="shared" si="5"/>
        <v>0</v>
      </c>
      <c r="Y27" s="1692">
        <f t="shared" si="6"/>
        <v>0</v>
      </c>
    </row>
    <row r="28" spans="1:25" s="1688" customFormat="1" ht="17.45" customHeight="1">
      <c r="A28" s="1734" t="s">
        <v>1094</v>
      </c>
      <c r="B28" s="669">
        <v>0</v>
      </c>
      <c r="C28" s="669">
        <v>0</v>
      </c>
      <c r="D28" s="669">
        <v>0</v>
      </c>
      <c r="E28" s="669">
        <v>0</v>
      </c>
      <c r="F28" s="669">
        <v>0</v>
      </c>
      <c r="G28" s="669">
        <v>0</v>
      </c>
      <c r="H28" s="669">
        <v>0</v>
      </c>
      <c r="I28" s="669">
        <v>0</v>
      </c>
      <c r="J28" s="669">
        <v>0</v>
      </c>
      <c r="K28" s="669">
        <v>0</v>
      </c>
      <c r="L28" s="1231">
        <v>0</v>
      </c>
      <c r="M28" s="669">
        <v>5.3</v>
      </c>
      <c r="N28" s="669">
        <v>0</v>
      </c>
      <c r="O28" s="669">
        <v>0</v>
      </c>
      <c r="P28" s="669">
        <v>5.3</v>
      </c>
      <c r="Q28" s="669">
        <v>5.3</v>
      </c>
      <c r="R28" s="1735" t="s">
        <v>1095</v>
      </c>
      <c r="S28" s="1692"/>
      <c r="T28" s="1692">
        <f t="shared" si="1"/>
        <v>0</v>
      </c>
      <c r="U28" s="1692">
        <f t="shared" si="2"/>
        <v>0</v>
      </c>
      <c r="V28" s="1692">
        <f t="shared" si="3"/>
        <v>0</v>
      </c>
      <c r="W28" s="1692">
        <f t="shared" si="4"/>
        <v>0</v>
      </c>
      <c r="X28" s="1729">
        <f t="shared" si="5"/>
        <v>0</v>
      </c>
      <c r="Y28" s="1692">
        <f t="shared" si="6"/>
        <v>0</v>
      </c>
    </row>
    <row r="29" spans="1:25" s="1688" customFormat="1" ht="16.5" customHeight="1">
      <c r="A29" s="1734" t="s">
        <v>1096</v>
      </c>
      <c r="B29" s="669">
        <v>0</v>
      </c>
      <c r="C29" s="669">
        <v>0</v>
      </c>
      <c r="D29" s="669">
        <v>0</v>
      </c>
      <c r="E29" s="669">
        <v>0</v>
      </c>
      <c r="F29" s="669">
        <v>0</v>
      </c>
      <c r="G29" s="669">
        <v>1.8859447978723429</v>
      </c>
      <c r="H29" s="669">
        <v>0</v>
      </c>
      <c r="I29" s="669">
        <v>0</v>
      </c>
      <c r="J29" s="669">
        <v>0</v>
      </c>
      <c r="K29" s="669">
        <v>1.8859447978723429</v>
      </c>
      <c r="L29" s="669">
        <v>1.1051513218085105</v>
      </c>
      <c r="M29" s="669">
        <v>0</v>
      </c>
      <c r="N29" s="669">
        <v>0</v>
      </c>
      <c r="O29" s="669">
        <v>27.432167553191491</v>
      </c>
      <c r="P29" s="669">
        <v>28.537318875</v>
      </c>
      <c r="Q29" s="669">
        <v>30.423263672872345</v>
      </c>
      <c r="R29" s="1735" t="s">
        <v>1097</v>
      </c>
      <c r="S29" s="1692"/>
      <c r="T29" s="1692">
        <f t="shared" si="1"/>
        <v>0</v>
      </c>
      <c r="U29" s="1692">
        <f t="shared" si="2"/>
        <v>0</v>
      </c>
      <c r="V29" s="1692">
        <f t="shared" si="3"/>
        <v>0</v>
      </c>
      <c r="W29" s="1692">
        <f t="shared" si="4"/>
        <v>0</v>
      </c>
      <c r="X29" s="1729">
        <f t="shared" si="5"/>
        <v>0</v>
      </c>
      <c r="Y29" s="1692">
        <f t="shared" si="6"/>
        <v>0</v>
      </c>
    </row>
    <row r="30" spans="1:25" s="1688" customFormat="1" ht="32.85" customHeight="1">
      <c r="A30" s="1736" t="s">
        <v>1098</v>
      </c>
      <c r="B30" s="669">
        <v>0</v>
      </c>
      <c r="C30" s="669">
        <v>0</v>
      </c>
      <c r="D30" s="669">
        <v>0</v>
      </c>
      <c r="E30" s="669">
        <v>16.223404255319149</v>
      </c>
      <c r="F30" s="669">
        <v>16.223404255319149</v>
      </c>
      <c r="G30" s="669">
        <v>0</v>
      </c>
      <c r="H30" s="669">
        <v>397.85896171331814</v>
      </c>
      <c r="I30" s="669">
        <v>0</v>
      </c>
      <c r="J30" s="669">
        <v>1.6248297336541187E-3</v>
      </c>
      <c r="K30" s="669">
        <v>397.8605865430518</v>
      </c>
      <c r="L30" s="669">
        <v>510.04008508776599</v>
      </c>
      <c r="M30" s="669">
        <v>403.65015674612357</v>
      </c>
      <c r="N30" s="669">
        <v>3.6638691489361706</v>
      </c>
      <c r="O30" s="669">
        <v>1652.5856878787376</v>
      </c>
      <c r="P30" s="669">
        <v>2569.9597988615633</v>
      </c>
      <c r="Q30" s="669">
        <v>2984.0637896599342</v>
      </c>
      <c r="R30" s="1737" t="s">
        <v>1099</v>
      </c>
      <c r="S30" s="1692"/>
      <c r="T30" s="1692">
        <f t="shared" si="1"/>
        <v>0</v>
      </c>
      <c r="U30" s="1692">
        <f t="shared" si="2"/>
        <v>0</v>
      </c>
      <c r="V30" s="1692">
        <f t="shared" si="3"/>
        <v>0</v>
      </c>
      <c r="W30" s="1692">
        <f t="shared" si="4"/>
        <v>16.2</v>
      </c>
      <c r="X30" s="1729">
        <f t="shared" si="5"/>
        <v>16.2</v>
      </c>
      <c r="Y30" s="1692">
        <f t="shared" si="6"/>
        <v>0</v>
      </c>
    </row>
    <row r="31" spans="1:25" s="1688" customFormat="1" ht="32.85" customHeight="1">
      <c r="A31" s="1736" t="s">
        <v>1100</v>
      </c>
      <c r="B31" s="1738"/>
      <c r="C31" s="1738"/>
      <c r="D31" s="1738"/>
      <c r="E31" s="1738"/>
      <c r="F31" s="1738"/>
      <c r="G31" s="1738"/>
      <c r="H31" s="1738"/>
      <c r="I31" s="1738"/>
      <c r="J31" s="1738"/>
      <c r="K31" s="1738"/>
      <c r="L31" s="669">
        <v>303.50584131491132</v>
      </c>
      <c r="M31" s="669">
        <v>72.126388177898946</v>
      </c>
      <c r="N31" s="669">
        <v>0</v>
      </c>
      <c r="O31" s="669">
        <v>0</v>
      </c>
      <c r="P31" s="669">
        <v>375.63222949281027</v>
      </c>
      <c r="Q31" s="669">
        <v>375.63222949281027</v>
      </c>
      <c r="R31" s="1737" t="s">
        <v>1101</v>
      </c>
      <c r="S31" s="1692"/>
      <c r="T31" s="1692">
        <f t="shared" si="1"/>
        <v>0</v>
      </c>
      <c r="U31" s="1692">
        <f t="shared" si="2"/>
        <v>0</v>
      </c>
      <c r="V31" s="1692">
        <f t="shared" si="3"/>
        <v>0</v>
      </c>
      <c r="W31" s="1692">
        <f t="shared" si="4"/>
        <v>0</v>
      </c>
      <c r="X31" s="1729">
        <f t="shared" si="5"/>
        <v>0</v>
      </c>
      <c r="Y31" s="1692">
        <f t="shared" si="6"/>
        <v>0</v>
      </c>
    </row>
    <row r="32" spans="1:25" s="1688" customFormat="1" ht="15">
      <c r="A32" s="1736" t="s">
        <v>1102</v>
      </c>
      <c r="B32" s="1739"/>
      <c r="C32" s="1739"/>
      <c r="D32" s="1739"/>
      <c r="E32" s="1739"/>
      <c r="F32" s="1739"/>
      <c r="G32" s="1739"/>
      <c r="H32" s="1739"/>
      <c r="I32" s="1739"/>
      <c r="J32" s="1739"/>
      <c r="K32" s="1739"/>
      <c r="L32" s="669">
        <v>774.50163183778227</v>
      </c>
      <c r="M32" s="790">
        <v>139.61991135222334</v>
      </c>
      <c r="N32" s="790">
        <v>0</v>
      </c>
      <c r="O32" s="790">
        <v>2808.2913528094068</v>
      </c>
      <c r="P32" s="669">
        <v>3722.4128959994123</v>
      </c>
      <c r="Q32" s="669">
        <v>3722.4128959994123</v>
      </c>
      <c r="R32" s="1737" t="s">
        <v>1103</v>
      </c>
      <c r="S32" s="1692"/>
      <c r="T32" s="1692">
        <f t="shared" si="1"/>
        <v>0</v>
      </c>
      <c r="U32" s="1692">
        <f t="shared" si="2"/>
        <v>0</v>
      </c>
      <c r="V32" s="1692">
        <f t="shared" si="3"/>
        <v>0</v>
      </c>
      <c r="W32" s="1692">
        <f t="shared" si="4"/>
        <v>0</v>
      </c>
      <c r="X32" s="1729">
        <f t="shared" si="5"/>
        <v>0</v>
      </c>
      <c r="Y32" s="1692">
        <f t="shared" si="6"/>
        <v>0</v>
      </c>
    </row>
    <row r="33" spans="1:25" s="1688" customFormat="1" ht="15">
      <c r="A33" s="1732" t="s">
        <v>404</v>
      </c>
      <c r="B33" s="669">
        <v>0</v>
      </c>
      <c r="C33" s="669">
        <v>0</v>
      </c>
      <c r="D33" s="669">
        <v>0</v>
      </c>
      <c r="E33" s="669">
        <v>0</v>
      </c>
      <c r="F33" s="669">
        <v>0</v>
      </c>
      <c r="G33" s="669">
        <v>945.23122803253557</v>
      </c>
      <c r="H33" s="669">
        <v>89.612076079909869</v>
      </c>
      <c r="I33" s="669">
        <v>0.28034112290231128</v>
      </c>
      <c r="J33" s="669">
        <v>134.58201456043051</v>
      </c>
      <c r="K33" s="669">
        <v>1169.705659795778</v>
      </c>
      <c r="L33" s="669">
        <v>1229.5667476059775</v>
      </c>
      <c r="M33" s="669">
        <v>389.84455077800101</v>
      </c>
      <c r="N33" s="669">
        <v>18.210167890599998</v>
      </c>
      <c r="O33" s="669">
        <v>3886.3736362024902</v>
      </c>
      <c r="P33" s="669">
        <v>5524.0151024770685</v>
      </c>
      <c r="Q33" s="669">
        <v>6693.7207622728465</v>
      </c>
      <c r="R33" s="1733" t="s">
        <v>396</v>
      </c>
      <c r="S33" s="1692"/>
      <c r="T33" s="1692">
        <f t="shared" si="1"/>
        <v>0</v>
      </c>
      <c r="U33" s="1692">
        <f t="shared" si="2"/>
        <v>0</v>
      </c>
      <c r="V33" s="1692">
        <f t="shared" si="3"/>
        <v>0</v>
      </c>
      <c r="W33" s="1692">
        <f t="shared" si="4"/>
        <v>0</v>
      </c>
      <c r="X33" s="1729">
        <f t="shared" si="5"/>
        <v>0</v>
      </c>
      <c r="Y33" s="1692">
        <f t="shared" si="6"/>
        <v>0</v>
      </c>
    </row>
    <row r="34" spans="1:25" s="1688" customFormat="1">
      <c r="L34" s="1692"/>
      <c r="S34" s="1692"/>
      <c r="T34" s="1692"/>
      <c r="U34" s="1692"/>
      <c r="V34" s="1692"/>
      <c r="W34" s="1692"/>
      <c r="X34" s="1729"/>
      <c r="Y34" s="1692"/>
    </row>
    <row r="35" spans="1:25" s="1688" customFormat="1">
      <c r="G35" s="1692"/>
      <c r="H35" s="1692"/>
      <c r="I35" s="1692"/>
      <c r="J35" s="1692"/>
      <c r="K35" s="1692"/>
      <c r="L35" s="1692"/>
      <c r="M35" s="1692"/>
      <c r="N35" s="1692"/>
      <c r="O35" s="1692"/>
      <c r="P35" s="1692"/>
      <c r="Q35" s="1692"/>
      <c r="T35" s="1692"/>
      <c r="U35" s="1692"/>
      <c r="V35" s="1692"/>
      <c r="W35" s="1692"/>
      <c r="X35" s="1729"/>
    </row>
    <row r="42" spans="1:25" s="1688" customFormat="1" ht="14.25">
      <c r="A42" s="1683" t="s">
        <v>1104</v>
      </c>
      <c r="B42" s="1686"/>
      <c r="C42" s="1686"/>
      <c r="D42" s="1686"/>
      <c r="E42" s="1686"/>
      <c r="F42" s="1686"/>
      <c r="G42" s="1686"/>
      <c r="H42" s="1686"/>
      <c r="I42" s="1686"/>
      <c r="J42" s="1686"/>
      <c r="K42" s="1686"/>
      <c r="L42" s="1687"/>
      <c r="M42" s="1686"/>
      <c r="N42" s="1686"/>
      <c r="O42" s="1686"/>
      <c r="P42" s="1686"/>
      <c r="Q42" s="1686"/>
      <c r="R42" s="1686"/>
    </row>
    <row r="43" spans="1:25" s="1688" customFormat="1" ht="14.25">
      <c r="F43" s="1683"/>
      <c r="J43" s="1686"/>
      <c r="K43" s="1686"/>
      <c r="L43" s="1692"/>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80" zoomScaleNormal="80" workbookViewId="0">
      <pane ySplit="12" topLeftCell="A21" activePane="bottomLeft" state="frozen"/>
      <selection activeCell="B12" sqref="B12"/>
      <selection pane="bottomLeft" activeCell="I30" sqref="I30"/>
    </sheetView>
  </sheetViews>
  <sheetFormatPr defaultRowHeight="12.75"/>
  <cols>
    <col min="1" max="2" width="9.7109375" style="25" customWidth="1"/>
    <col min="3" max="3" width="8.85546875" style="25" customWidth="1"/>
    <col min="4" max="4" width="14.28515625" style="25" customWidth="1"/>
    <col min="5" max="5" width="13.7109375" style="25" customWidth="1"/>
    <col min="6" max="6" width="12.7109375" style="25" customWidth="1"/>
    <col min="7" max="7" width="11.85546875" style="25" customWidth="1"/>
    <col min="8" max="8" width="13.7109375" style="25" customWidth="1"/>
    <col min="9" max="9" width="11.28515625" style="25" customWidth="1"/>
    <col min="10" max="11" width="13.7109375" style="25" customWidth="1"/>
    <col min="12" max="13" width="12.7109375" style="25" customWidth="1"/>
    <col min="14" max="14" width="11.85546875" style="25" customWidth="1"/>
    <col min="15" max="15" width="11.7109375" style="25" customWidth="1"/>
    <col min="16" max="16" width="9.28515625" style="1450" customWidth="1"/>
    <col min="17" max="16384" width="9.140625" style="25"/>
  </cols>
  <sheetData>
    <row r="1" spans="1:25" s="23" customFormat="1" ht="18">
      <c r="A1" s="16" t="s">
        <v>1793</v>
      </c>
      <c r="B1" s="4"/>
      <c r="C1" s="4"/>
      <c r="D1" s="4"/>
      <c r="E1" s="4"/>
      <c r="F1" s="4"/>
      <c r="G1" s="4"/>
      <c r="H1" s="4"/>
      <c r="I1" s="4"/>
      <c r="J1" s="4"/>
      <c r="K1" s="4"/>
      <c r="L1" s="4"/>
      <c r="M1" s="4"/>
      <c r="N1" s="4"/>
      <c r="O1" s="4"/>
      <c r="P1" s="1443"/>
    </row>
    <row r="2" spans="1:25" s="23" customFormat="1" ht="18">
      <c r="A2" s="1444" t="s">
        <v>369</v>
      </c>
      <c r="B2" s="4"/>
      <c r="C2" s="4"/>
      <c r="D2" s="4"/>
      <c r="E2" s="4"/>
      <c r="F2" s="4"/>
      <c r="G2" s="4"/>
      <c r="H2" s="4"/>
      <c r="I2" s="4"/>
      <c r="J2" s="4"/>
      <c r="K2" s="4"/>
      <c r="L2" s="4"/>
      <c r="M2" s="4"/>
      <c r="N2" s="4"/>
      <c r="O2" s="4"/>
      <c r="P2" s="1443"/>
    </row>
    <row r="3" spans="1:25" s="23" customFormat="1" ht="19.5">
      <c r="A3" s="1445" t="s">
        <v>370</v>
      </c>
      <c r="B3" s="4"/>
      <c r="C3" s="4"/>
      <c r="D3" s="4"/>
      <c r="E3" s="4"/>
      <c r="F3" s="4"/>
      <c r="G3" s="4"/>
      <c r="H3" s="4"/>
      <c r="I3" s="4"/>
      <c r="J3" s="4"/>
      <c r="K3" s="4"/>
      <c r="L3" s="4"/>
      <c r="M3" s="4"/>
      <c r="N3" s="4"/>
      <c r="O3" s="4"/>
      <c r="P3" s="1443"/>
    </row>
    <row r="4" spans="1:25" s="23" customFormat="1" ht="18">
      <c r="A4" s="1444" t="s">
        <v>371</v>
      </c>
      <c r="B4" s="4"/>
      <c r="C4" s="4"/>
      <c r="D4" s="4"/>
      <c r="E4" s="4"/>
      <c r="F4" s="4"/>
      <c r="G4" s="4"/>
      <c r="H4" s="4"/>
      <c r="I4" s="4"/>
      <c r="J4" s="4"/>
      <c r="K4" s="4"/>
      <c r="L4" s="4"/>
      <c r="M4" s="4"/>
      <c r="N4" s="4"/>
      <c r="O4" s="4"/>
      <c r="P4" s="1443"/>
    </row>
    <row r="5" spans="1:25" s="23" customFormat="1" ht="19.5">
      <c r="A5" s="1445" t="s">
        <v>372</v>
      </c>
      <c r="B5" s="4"/>
      <c r="C5" s="4"/>
      <c r="D5" s="4"/>
      <c r="E5" s="4"/>
      <c r="F5" s="4"/>
      <c r="G5" s="4"/>
      <c r="H5" s="4"/>
      <c r="I5" s="4"/>
      <c r="J5" s="4"/>
      <c r="K5" s="4"/>
      <c r="L5" s="4"/>
      <c r="M5" s="4"/>
      <c r="N5" s="4"/>
      <c r="O5" s="4"/>
      <c r="P5" s="1443"/>
    </row>
    <row r="6" spans="1:25" s="8" customFormat="1" ht="15">
      <c r="A6" s="172" t="s">
        <v>373</v>
      </c>
      <c r="B6" s="172"/>
      <c r="C6" s="172"/>
      <c r="D6" s="172"/>
      <c r="E6" s="172"/>
      <c r="F6" s="172"/>
      <c r="G6" s="172"/>
      <c r="H6" s="172"/>
      <c r="I6" s="172"/>
      <c r="J6" s="172"/>
      <c r="K6" s="172"/>
      <c r="L6" s="172"/>
      <c r="M6" s="172"/>
      <c r="N6" s="172"/>
      <c r="O6" s="36" t="s">
        <v>374</v>
      </c>
      <c r="P6" s="234"/>
    </row>
    <row r="7" spans="1:25" s="8" customFormat="1" ht="18" customHeight="1">
      <c r="A7" s="206"/>
      <c r="C7" s="298" t="s">
        <v>375</v>
      </c>
      <c r="D7" s="172"/>
      <c r="E7" s="172"/>
      <c r="F7" s="172"/>
      <c r="G7" s="299" t="s">
        <v>376</v>
      </c>
      <c r="H7" s="210"/>
      <c r="I7" s="298" t="s">
        <v>377</v>
      </c>
      <c r="J7" s="172"/>
      <c r="K7" s="172"/>
      <c r="L7" s="172"/>
      <c r="M7" s="172"/>
      <c r="N7" s="172"/>
      <c r="O7" s="299" t="s">
        <v>378</v>
      </c>
      <c r="P7" s="234"/>
    </row>
    <row r="8" spans="1:25" s="34" customFormat="1" ht="18" customHeight="1">
      <c r="A8" s="56"/>
      <c r="C8" s="273" t="s">
        <v>379</v>
      </c>
      <c r="D8" s="54"/>
      <c r="E8" s="209" t="s">
        <v>380</v>
      </c>
      <c r="F8" s="272"/>
      <c r="G8" s="311" t="s">
        <v>381</v>
      </c>
      <c r="H8" s="211"/>
      <c r="I8" s="201"/>
      <c r="J8" s="591" t="s">
        <v>382</v>
      </c>
      <c r="K8" s="203"/>
      <c r="L8" s="200"/>
      <c r="M8" s="203"/>
      <c r="N8" s="208"/>
      <c r="O8" s="592" t="s">
        <v>381</v>
      </c>
      <c r="P8" s="240"/>
    </row>
    <row r="9" spans="1:25" s="34" customFormat="1" ht="18" customHeight="1">
      <c r="A9" s="24" t="s">
        <v>383</v>
      </c>
      <c r="B9" s="74"/>
      <c r="C9" s="87" t="s">
        <v>384</v>
      </c>
      <c r="D9" s="88"/>
      <c r="E9" s="308" t="s">
        <v>385</v>
      </c>
      <c r="F9" s="59" t="s">
        <v>385</v>
      </c>
      <c r="G9" s="202"/>
      <c r="H9" s="313" t="s">
        <v>386</v>
      </c>
      <c r="I9" s="204"/>
      <c r="J9" s="309" t="s">
        <v>7</v>
      </c>
      <c r="K9" s="59" t="s">
        <v>387</v>
      </c>
      <c r="L9" s="59" t="s">
        <v>388</v>
      </c>
      <c r="M9" s="59" t="s">
        <v>389</v>
      </c>
      <c r="N9" s="274"/>
      <c r="O9" s="61" t="s">
        <v>390</v>
      </c>
      <c r="P9" s="240"/>
    </row>
    <row r="10" spans="1:25" s="34" customFormat="1" ht="18" customHeight="1">
      <c r="A10" s="82" t="s">
        <v>391</v>
      </c>
      <c r="B10" s="125"/>
      <c r="C10" s="307" t="s">
        <v>392</v>
      </c>
      <c r="D10" s="59" t="s">
        <v>393</v>
      </c>
      <c r="E10" s="61" t="s">
        <v>394</v>
      </c>
      <c r="F10" s="61" t="s">
        <v>395</v>
      </c>
      <c r="G10" s="205" t="s">
        <v>396</v>
      </c>
      <c r="H10" s="173" t="s">
        <v>397</v>
      </c>
      <c r="I10" s="312" t="s">
        <v>379</v>
      </c>
      <c r="J10" s="310" t="s">
        <v>398</v>
      </c>
      <c r="K10" s="61" t="s">
        <v>399</v>
      </c>
      <c r="L10" s="59" t="s">
        <v>395</v>
      </c>
      <c r="M10" s="61" t="s">
        <v>400</v>
      </c>
      <c r="N10" s="205" t="s">
        <v>396</v>
      </c>
      <c r="O10" s="61" t="s">
        <v>401</v>
      </c>
      <c r="P10" s="240"/>
    </row>
    <row r="11" spans="1:25" s="39" customFormat="1" ht="18" customHeight="1">
      <c r="A11" s="97"/>
      <c r="B11" s="60"/>
      <c r="C11" s="126" t="s">
        <v>402</v>
      </c>
      <c r="D11" s="84" t="s">
        <v>384</v>
      </c>
      <c r="E11" s="110" t="s">
        <v>403</v>
      </c>
      <c r="F11" s="110" t="s">
        <v>403</v>
      </c>
      <c r="G11" s="83" t="s">
        <v>404</v>
      </c>
      <c r="H11" s="173"/>
      <c r="I11" s="84" t="s">
        <v>384</v>
      </c>
      <c r="J11" s="83" t="s">
        <v>405</v>
      </c>
      <c r="K11" s="83" t="s">
        <v>406</v>
      </c>
      <c r="L11" s="83" t="s">
        <v>407</v>
      </c>
      <c r="M11" s="110" t="s">
        <v>406</v>
      </c>
      <c r="N11" s="110" t="s">
        <v>404</v>
      </c>
      <c r="O11" s="110" t="s">
        <v>408</v>
      </c>
      <c r="P11" s="241"/>
    </row>
    <row r="12" spans="1:25" s="34" customFormat="1" ht="18" customHeight="1">
      <c r="A12" s="65"/>
      <c r="B12" s="66"/>
      <c r="C12" s="207"/>
      <c r="D12" s="89" t="s">
        <v>409</v>
      </c>
      <c r="E12" s="90" t="s">
        <v>410</v>
      </c>
      <c r="F12" s="90" t="s">
        <v>411</v>
      </c>
      <c r="G12" s="90"/>
      <c r="H12" s="212"/>
      <c r="I12" s="89"/>
      <c r="J12" s="90" t="s">
        <v>412</v>
      </c>
      <c r="K12" s="90" t="s">
        <v>410</v>
      </c>
      <c r="L12" s="90" t="s">
        <v>413</v>
      </c>
      <c r="M12" s="90" t="s">
        <v>414</v>
      </c>
      <c r="N12" s="90"/>
      <c r="O12" s="90" t="s">
        <v>415</v>
      </c>
      <c r="P12" s="242"/>
    </row>
    <row r="13" spans="1:25" s="306" customFormat="1" ht="20.25" customHeight="1">
      <c r="A13" s="405">
        <v>2015</v>
      </c>
      <c r="B13" s="2042"/>
      <c r="C13" s="2043">
        <v>2.5</v>
      </c>
      <c r="D13" s="1817">
        <v>1168.9000000000001</v>
      </c>
      <c r="E13" s="807">
        <v>380.2</v>
      </c>
      <c r="F13" s="2044">
        <v>496.7</v>
      </c>
      <c r="G13" s="825">
        <v>442.6</v>
      </c>
      <c r="H13" s="2045">
        <v>2490.9</v>
      </c>
      <c r="I13" s="1848">
        <v>0</v>
      </c>
      <c r="J13" s="2046">
        <v>650.1</v>
      </c>
      <c r="K13" s="807">
        <v>1267.5999999999999</v>
      </c>
      <c r="L13" s="2047">
        <v>0.6</v>
      </c>
      <c r="M13" s="2048">
        <v>0</v>
      </c>
      <c r="N13" s="2047">
        <v>112.9</v>
      </c>
      <c r="O13" s="2049">
        <v>459.7</v>
      </c>
      <c r="P13" s="801"/>
    </row>
    <row r="14" spans="1:25" s="1058" customFormat="1" ht="14.25" customHeight="1">
      <c r="A14" s="1447">
        <v>2016</v>
      </c>
      <c r="B14" s="1148"/>
      <c r="C14" s="693">
        <v>2.5</v>
      </c>
      <c r="D14" s="693">
        <v>815.9</v>
      </c>
      <c r="E14" s="860">
        <v>365.3</v>
      </c>
      <c r="F14" s="861">
        <v>990.6</v>
      </c>
      <c r="G14" s="862">
        <v>484.8</v>
      </c>
      <c r="H14" s="1139">
        <v>2659.1000000000004</v>
      </c>
      <c r="I14" s="1140">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58" customFormat="1" ht="14.25" customHeight="1">
      <c r="A15" s="1447">
        <v>2017</v>
      </c>
      <c r="B15" s="1148"/>
      <c r="C15" s="693">
        <v>2.5</v>
      </c>
      <c r="D15" s="693">
        <v>880.6</v>
      </c>
      <c r="E15" s="860">
        <v>252.6</v>
      </c>
      <c r="F15" s="861">
        <v>1024</v>
      </c>
      <c r="G15" s="862">
        <v>549.5</v>
      </c>
      <c r="H15" s="1139">
        <v>2709.2</v>
      </c>
      <c r="I15" s="1140">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38"/>
      <c r="C16" s="693">
        <v>2.5</v>
      </c>
      <c r="D16" s="693">
        <v>699.8</v>
      </c>
      <c r="E16" s="860">
        <v>130.9</v>
      </c>
      <c r="F16" s="861">
        <v>1005.6</v>
      </c>
      <c r="G16" s="862">
        <v>617.70000000000005</v>
      </c>
      <c r="H16" s="1139">
        <v>2456.5</v>
      </c>
      <c r="I16" s="1140">
        <v>0</v>
      </c>
      <c r="J16" s="859">
        <v>681.7</v>
      </c>
      <c r="K16" s="860">
        <v>1028.7</v>
      </c>
      <c r="L16" s="863">
        <v>5.9</v>
      </c>
      <c r="M16" s="766">
        <v>0</v>
      </c>
      <c r="N16" s="864">
        <v>199.1</v>
      </c>
      <c r="O16" s="865">
        <v>541.1</v>
      </c>
      <c r="P16" s="801"/>
    </row>
    <row r="17" spans="1:16" s="321" customFormat="1" ht="14.25" customHeight="1">
      <c r="A17" s="770">
        <v>2019</v>
      </c>
      <c r="B17" s="1138"/>
      <c r="C17" s="693">
        <v>2.5</v>
      </c>
      <c r="D17" s="693">
        <v>1276.0999999999999</v>
      </c>
      <c r="E17" s="860">
        <v>415</v>
      </c>
      <c r="F17" s="861">
        <v>1085.9000000000001</v>
      </c>
      <c r="G17" s="862">
        <v>418.3</v>
      </c>
      <c r="H17" s="1139">
        <v>3197.8</v>
      </c>
      <c r="I17" s="1140">
        <v>0</v>
      </c>
      <c r="J17" s="859">
        <v>687.1</v>
      </c>
      <c r="K17" s="860">
        <v>1603.1</v>
      </c>
      <c r="L17" s="863">
        <v>4.2</v>
      </c>
      <c r="M17" s="766">
        <v>0</v>
      </c>
      <c r="N17" s="864">
        <v>317.39999999999998</v>
      </c>
      <c r="O17" s="865">
        <v>586</v>
      </c>
      <c r="P17" s="801"/>
    </row>
    <row r="18" spans="1:16" s="321" customFormat="1" ht="14.25" customHeight="1">
      <c r="A18" s="770">
        <v>2020</v>
      </c>
      <c r="B18" s="1138"/>
      <c r="C18" s="693">
        <v>2.5</v>
      </c>
      <c r="D18" s="693">
        <v>732</v>
      </c>
      <c r="E18" s="860">
        <v>162.1</v>
      </c>
      <c r="F18" s="861">
        <v>1778.8</v>
      </c>
      <c r="G18" s="862">
        <v>348.4</v>
      </c>
      <c r="H18" s="1139">
        <v>3023.8</v>
      </c>
      <c r="I18" s="1140">
        <v>0</v>
      </c>
      <c r="J18" s="859">
        <v>745.1</v>
      </c>
      <c r="K18" s="860">
        <v>1408.5</v>
      </c>
      <c r="L18" s="863">
        <v>4.9000000000000004</v>
      </c>
      <c r="M18" s="766">
        <v>0</v>
      </c>
      <c r="N18" s="864">
        <v>269.7</v>
      </c>
      <c r="O18" s="865">
        <v>595.6</v>
      </c>
      <c r="P18" s="801"/>
    </row>
    <row r="19" spans="1:16" s="321" customFormat="1" ht="14.25" customHeight="1">
      <c r="A19" s="770">
        <v>2021</v>
      </c>
      <c r="B19" s="1138"/>
      <c r="C19" s="693">
        <v>2.5</v>
      </c>
      <c r="D19" s="693">
        <v>1468.6</v>
      </c>
      <c r="E19" s="860">
        <v>421.7</v>
      </c>
      <c r="F19" s="861">
        <v>1797.8</v>
      </c>
      <c r="G19" s="862">
        <v>439</v>
      </c>
      <c r="H19" s="1139">
        <v>4129.6000000000004</v>
      </c>
      <c r="I19" s="1140">
        <v>0</v>
      </c>
      <c r="J19" s="859">
        <v>704</v>
      </c>
      <c r="K19" s="860">
        <v>2335.1</v>
      </c>
      <c r="L19" s="863">
        <v>203.5</v>
      </c>
      <c r="M19" s="766">
        <v>0</v>
      </c>
      <c r="N19" s="864">
        <v>282.3</v>
      </c>
      <c r="O19" s="865">
        <v>604.70000000000005</v>
      </c>
      <c r="P19" s="801"/>
    </row>
    <row r="20" spans="1:16" s="321" customFormat="1" ht="14.25" customHeight="1">
      <c r="A20" s="770">
        <v>2022</v>
      </c>
      <c r="B20" s="1138"/>
      <c r="C20" s="693">
        <v>2.5</v>
      </c>
      <c r="D20" s="693">
        <v>1401.6</v>
      </c>
      <c r="E20" s="860">
        <v>276</v>
      </c>
      <c r="F20" s="861">
        <v>2773.8</v>
      </c>
      <c r="G20" s="862">
        <v>384</v>
      </c>
      <c r="H20" s="1139">
        <v>4837.8999999999996</v>
      </c>
      <c r="I20" s="1140">
        <v>0</v>
      </c>
      <c r="J20" s="859">
        <v>684.4</v>
      </c>
      <c r="K20" s="860">
        <v>3224.4</v>
      </c>
      <c r="L20" s="863">
        <v>6.4</v>
      </c>
      <c r="M20" s="766">
        <v>0</v>
      </c>
      <c r="N20" s="864">
        <v>300</v>
      </c>
      <c r="O20" s="865">
        <v>622.70000000000005</v>
      </c>
      <c r="P20" s="801"/>
    </row>
    <row r="21" spans="1:16" s="321" customFormat="1" ht="14.25" customHeight="1">
      <c r="A21" s="770">
        <v>2023</v>
      </c>
      <c r="B21" s="1138"/>
      <c r="C21" s="693">
        <f t="shared" ref="C21:O21" si="0">C26</f>
        <v>2.5</v>
      </c>
      <c r="D21" s="693">
        <f t="shared" si="0"/>
        <v>1512.7</v>
      </c>
      <c r="E21" s="860">
        <f t="shared" si="0"/>
        <v>490</v>
      </c>
      <c r="F21" s="861">
        <f t="shared" si="0"/>
        <v>3477.4</v>
      </c>
      <c r="G21" s="862">
        <f t="shared" si="0"/>
        <v>552.9</v>
      </c>
      <c r="H21" s="1139">
        <f t="shared" si="0"/>
        <v>6035.5</v>
      </c>
      <c r="I21" s="1140">
        <f t="shared" si="0"/>
        <v>0</v>
      </c>
      <c r="J21" s="859">
        <f t="shared" si="0"/>
        <v>667.8</v>
      </c>
      <c r="K21" s="860">
        <f t="shared" si="0"/>
        <v>4468.5</v>
      </c>
      <c r="L21" s="863">
        <f t="shared" si="0"/>
        <v>2.8</v>
      </c>
      <c r="M21" s="766">
        <f t="shared" si="0"/>
        <v>0</v>
      </c>
      <c r="N21" s="864">
        <f t="shared" si="0"/>
        <v>217.3</v>
      </c>
      <c r="O21" s="865">
        <f t="shared" si="0"/>
        <v>679.1</v>
      </c>
      <c r="P21" s="801"/>
    </row>
    <row r="22" spans="1:16" s="321" customFormat="1" ht="14.25" customHeight="1">
      <c r="A22" s="930">
        <v>2024</v>
      </c>
      <c r="B22" s="996"/>
      <c r="C22" s="997">
        <f t="shared" ref="C22:O22" si="1">C30</f>
        <v>2.5</v>
      </c>
      <c r="D22" s="997">
        <f t="shared" si="1"/>
        <v>1425</v>
      </c>
      <c r="E22" s="1315">
        <f t="shared" si="1"/>
        <v>96.1</v>
      </c>
      <c r="F22" s="999">
        <f t="shared" si="1"/>
        <v>4294.7</v>
      </c>
      <c r="G22" s="1000">
        <f t="shared" si="1"/>
        <v>621.70000000000005</v>
      </c>
      <c r="H22" s="1001">
        <f t="shared" si="1"/>
        <v>6439.9999999999991</v>
      </c>
      <c r="I22" s="1002">
        <f t="shared" si="1"/>
        <v>0</v>
      </c>
      <c r="J22" s="1003">
        <f t="shared" si="1"/>
        <v>670.8</v>
      </c>
      <c r="K22" s="998">
        <f t="shared" si="1"/>
        <v>4774.8999999999996</v>
      </c>
      <c r="L22" s="1004">
        <f t="shared" si="1"/>
        <v>6.6</v>
      </c>
      <c r="M22" s="1005">
        <f t="shared" si="1"/>
        <v>0</v>
      </c>
      <c r="N22" s="1006">
        <f t="shared" si="1"/>
        <v>254.8</v>
      </c>
      <c r="O22" s="1007">
        <f t="shared" si="1"/>
        <v>732.9</v>
      </c>
      <c r="P22" s="801"/>
    </row>
    <row r="23" spans="1:16" s="321" customFormat="1" ht="21" customHeight="1">
      <c r="A23" s="770">
        <v>2023</v>
      </c>
      <c r="B23" s="1138" t="s">
        <v>243</v>
      </c>
      <c r="C23" s="693">
        <v>2.5</v>
      </c>
      <c r="D23" s="693">
        <v>1336.8</v>
      </c>
      <c r="E23" s="860">
        <v>387.8</v>
      </c>
      <c r="F23" s="861">
        <v>3367.5</v>
      </c>
      <c r="G23" s="862">
        <v>301.3</v>
      </c>
      <c r="H23" s="1139">
        <v>5395.9000000000005</v>
      </c>
      <c r="I23" s="1140">
        <v>0</v>
      </c>
      <c r="J23" s="859">
        <v>686.4</v>
      </c>
      <c r="K23" s="860">
        <v>3751</v>
      </c>
      <c r="L23" s="863">
        <v>62</v>
      </c>
      <c r="M23" s="766">
        <v>0</v>
      </c>
      <c r="N23" s="864">
        <v>262.5</v>
      </c>
      <c r="O23" s="865">
        <v>634</v>
      </c>
      <c r="P23" s="801"/>
    </row>
    <row r="24" spans="1:16" s="321" customFormat="1" ht="15">
      <c r="A24" s="770"/>
      <c r="B24" s="1138" t="s">
        <v>244</v>
      </c>
      <c r="C24" s="693">
        <v>2.5</v>
      </c>
      <c r="D24" s="693">
        <v>1949.5</v>
      </c>
      <c r="E24" s="860">
        <v>656.9</v>
      </c>
      <c r="F24" s="861">
        <v>3034.9</v>
      </c>
      <c r="G24" s="862">
        <v>481.5</v>
      </c>
      <c r="H24" s="1139">
        <v>6125.3</v>
      </c>
      <c r="I24" s="1140">
        <v>0</v>
      </c>
      <c r="J24" s="859">
        <v>710.1</v>
      </c>
      <c r="K24" s="860">
        <v>4135</v>
      </c>
      <c r="L24" s="863">
        <v>4.5999999999999996</v>
      </c>
      <c r="M24" s="766">
        <v>0</v>
      </c>
      <c r="N24" s="864">
        <v>624.9</v>
      </c>
      <c r="O24" s="865">
        <v>650.70000000000005</v>
      </c>
      <c r="P24" s="801"/>
    </row>
    <row r="25" spans="1:16" s="321" customFormat="1" ht="15">
      <c r="A25" s="770"/>
      <c r="B25" s="1138" t="s">
        <v>245</v>
      </c>
      <c r="C25" s="2050">
        <v>2.5</v>
      </c>
      <c r="D25" s="693">
        <v>1487.4</v>
      </c>
      <c r="E25" s="2051">
        <v>442.4</v>
      </c>
      <c r="F25" s="861">
        <v>3636.7</v>
      </c>
      <c r="G25" s="862">
        <v>537.6</v>
      </c>
      <c r="H25" s="1139">
        <v>6106.6</v>
      </c>
      <c r="I25" s="1140">
        <v>0</v>
      </c>
      <c r="J25" s="859">
        <v>666</v>
      </c>
      <c r="K25" s="860">
        <v>4541.7</v>
      </c>
      <c r="L25" s="863">
        <v>8.8000000000000007</v>
      </c>
      <c r="M25" s="766">
        <v>0</v>
      </c>
      <c r="N25" s="864">
        <v>223.2</v>
      </c>
      <c r="O25" s="865">
        <v>666.9</v>
      </c>
      <c r="P25" s="801"/>
    </row>
    <row r="26" spans="1:16" s="321" customFormat="1" ht="15">
      <c r="A26" s="770"/>
      <c r="B26" s="1138" t="s">
        <v>242</v>
      </c>
      <c r="C26" s="693">
        <v>2.5</v>
      </c>
      <c r="D26" s="693">
        <v>1512.7</v>
      </c>
      <c r="E26" s="860">
        <v>490</v>
      </c>
      <c r="F26" s="861">
        <v>3477.4</v>
      </c>
      <c r="G26" s="862">
        <v>552.9</v>
      </c>
      <c r="H26" s="1139">
        <v>6035.5</v>
      </c>
      <c r="I26" s="1140">
        <v>0</v>
      </c>
      <c r="J26" s="859">
        <v>667.8</v>
      </c>
      <c r="K26" s="860">
        <v>4468.5</v>
      </c>
      <c r="L26" s="863">
        <v>2.8</v>
      </c>
      <c r="M26" s="766">
        <v>0</v>
      </c>
      <c r="N26" s="864">
        <v>217.3</v>
      </c>
      <c r="O26" s="865">
        <v>679.1</v>
      </c>
      <c r="P26" s="801"/>
    </row>
    <row r="27" spans="1:16" s="321" customFormat="1" ht="21" customHeight="1">
      <c r="A27" s="770">
        <v>2024</v>
      </c>
      <c r="B27" s="1138" t="s">
        <v>243</v>
      </c>
      <c r="C27" s="693">
        <f t="shared" ref="C27:O27" si="2">C34</f>
        <v>2.5</v>
      </c>
      <c r="D27" s="693">
        <f t="shared" si="2"/>
        <v>1515.9</v>
      </c>
      <c r="E27" s="860">
        <f t="shared" si="2"/>
        <v>593.79999999999995</v>
      </c>
      <c r="F27" s="861">
        <f t="shared" si="2"/>
        <v>3634.8</v>
      </c>
      <c r="G27" s="862">
        <f t="shared" si="2"/>
        <v>565</v>
      </c>
      <c r="H27" s="1139">
        <f t="shared" si="2"/>
        <v>6312</v>
      </c>
      <c r="I27" s="1140">
        <f t="shared" si="2"/>
        <v>0</v>
      </c>
      <c r="J27" s="859">
        <f t="shared" si="2"/>
        <v>700.1</v>
      </c>
      <c r="K27" s="860">
        <f t="shared" si="2"/>
        <v>4380.5</v>
      </c>
      <c r="L27" s="863">
        <f t="shared" si="2"/>
        <v>306.7</v>
      </c>
      <c r="M27" s="766">
        <f t="shared" si="2"/>
        <v>0</v>
      </c>
      <c r="N27" s="864">
        <f t="shared" si="2"/>
        <v>227.6</v>
      </c>
      <c r="O27" s="865">
        <f t="shared" si="2"/>
        <v>697.1</v>
      </c>
      <c r="P27" s="801"/>
    </row>
    <row r="28" spans="1:16" s="321" customFormat="1" ht="15" customHeight="1">
      <c r="A28" s="770"/>
      <c r="B28" s="1138" t="s">
        <v>244</v>
      </c>
      <c r="C28" s="693">
        <f t="shared" ref="C28:O28" si="3">C37</f>
        <v>2.5</v>
      </c>
      <c r="D28" s="693">
        <f t="shared" si="3"/>
        <v>1505</v>
      </c>
      <c r="E28" s="860">
        <f t="shared" si="3"/>
        <v>91.4</v>
      </c>
      <c r="F28" s="861">
        <f t="shared" si="3"/>
        <v>4346.3999999999996</v>
      </c>
      <c r="G28" s="862">
        <f t="shared" si="3"/>
        <v>639.5</v>
      </c>
      <c r="H28" s="1139">
        <f t="shared" si="3"/>
        <v>6584.7999999999993</v>
      </c>
      <c r="I28" s="1140">
        <f t="shared" si="3"/>
        <v>0</v>
      </c>
      <c r="J28" s="859">
        <f t="shared" si="3"/>
        <v>695</v>
      </c>
      <c r="K28" s="860">
        <f t="shared" si="3"/>
        <v>4956.1000000000004</v>
      </c>
      <c r="L28" s="863">
        <f t="shared" si="3"/>
        <v>14.3</v>
      </c>
      <c r="M28" s="766">
        <f t="shared" si="3"/>
        <v>0</v>
      </c>
      <c r="N28" s="864">
        <f t="shared" si="3"/>
        <v>203.2</v>
      </c>
      <c r="O28" s="865">
        <f t="shared" si="3"/>
        <v>716.2</v>
      </c>
      <c r="P28" s="801"/>
    </row>
    <row r="29" spans="1:16" s="321" customFormat="1" ht="15" customHeight="1">
      <c r="A29" s="770"/>
      <c r="B29" s="1138" t="s">
        <v>245</v>
      </c>
      <c r="C29" s="693">
        <f t="shared" ref="C29:O29" si="4">C40</f>
        <v>2.5</v>
      </c>
      <c r="D29" s="693">
        <f t="shared" si="4"/>
        <v>1909.7</v>
      </c>
      <c r="E29" s="860">
        <f t="shared" si="4"/>
        <v>91.5</v>
      </c>
      <c r="F29" s="861">
        <f t="shared" si="4"/>
        <v>4473.8999999999996</v>
      </c>
      <c r="G29" s="862">
        <f t="shared" si="4"/>
        <v>626.1</v>
      </c>
      <c r="H29" s="1139">
        <f t="shared" si="4"/>
        <v>7103.7</v>
      </c>
      <c r="I29" s="1140">
        <f t="shared" si="4"/>
        <v>0</v>
      </c>
      <c r="J29" s="859">
        <f t="shared" si="4"/>
        <v>672.7</v>
      </c>
      <c r="K29" s="860">
        <f t="shared" si="4"/>
        <v>5441.1</v>
      </c>
      <c r="L29" s="863">
        <f t="shared" si="4"/>
        <v>7.3</v>
      </c>
      <c r="M29" s="766">
        <f t="shared" si="4"/>
        <v>0</v>
      </c>
      <c r="N29" s="864">
        <f t="shared" si="4"/>
        <v>252.5</v>
      </c>
      <c r="O29" s="865">
        <f t="shared" si="4"/>
        <v>730.1</v>
      </c>
      <c r="P29" s="801"/>
    </row>
    <row r="30" spans="1:16" s="321" customFormat="1" ht="15" customHeight="1">
      <c r="A30" s="930"/>
      <c r="B30" s="996" t="s">
        <v>242</v>
      </c>
      <c r="C30" s="997">
        <f t="shared" ref="C30:O30" si="5">C43</f>
        <v>2.5</v>
      </c>
      <c r="D30" s="997">
        <f t="shared" si="5"/>
        <v>1425</v>
      </c>
      <c r="E30" s="998">
        <f t="shared" si="5"/>
        <v>96.1</v>
      </c>
      <c r="F30" s="999">
        <f t="shared" si="5"/>
        <v>4294.7</v>
      </c>
      <c r="G30" s="1000">
        <f t="shared" si="5"/>
        <v>621.70000000000005</v>
      </c>
      <c r="H30" s="1001">
        <f t="shared" si="5"/>
        <v>6439.9999999999991</v>
      </c>
      <c r="I30" s="1002">
        <f t="shared" si="5"/>
        <v>0</v>
      </c>
      <c r="J30" s="1003">
        <f t="shared" si="5"/>
        <v>670.8</v>
      </c>
      <c r="K30" s="998">
        <f t="shared" si="5"/>
        <v>4774.8999999999996</v>
      </c>
      <c r="L30" s="1004">
        <f t="shared" si="5"/>
        <v>6.6</v>
      </c>
      <c r="M30" s="1005">
        <f t="shared" si="5"/>
        <v>0</v>
      </c>
      <c r="N30" s="1006">
        <f t="shared" si="5"/>
        <v>254.8</v>
      </c>
      <c r="O30" s="1007">
        <f t="shared" si="5"/>
        <v>732.9</v>
      </c>
      <c r="P30" s="801"/>
    </row>
    <row r="31" spans="1:16" s="321" customFormat="1" ht="21" customHeight="1">
      <c r="A31" s="770">
        <v>2023</v>
      </c>
      <c r="B31" s="771" t="s">
        <v>426</v>
      </c>
      <c r="C31" s="693">
        <v>2.5</v>
      </c>
      <c r="D31" s="693">
        <v>1512.7</v>
      </c>
      <c r="E31" s="860">
        <v>490</v>
      </c>
      <c r="F31" s="861">
        <v>3477.4</v>
      </c>
      <c r="G31" s="862">
        <v>552.9</v>
      </c>
      <c r="H31" s="1139">
        <v>6035.5</v>
      </c>
      <c r="I31" s="1140">
        <v>0</v>
      </c>
      <c r="J31" s="859">
        <v>667.8</v>
      </c>
      <c r="K31" s="860">
        <v>4468.5</v>
      </c>
      <c r="L31" s="863">
        <v>2.8</v>
      </c>
      <c r="M31" s="766">
        <v>0</v>
      </c>
      <c r="N31" s="864">
        <v>217.3</v>
      </c>
      <c r="O31" s="865">
        <v>679.1</v>
      </c>
      <c r="P31" s="801"/>
    </row>
    <row r="32" spans="1:16" s="321" customFormat="1" ht="21" customHeight="1">
      <c r="A32" s="770">
        <v>2024</v>
      </c>
      <c r="B32" s="771" t="s">
        <v>427</v>
      </c>
      <c r="C32" s="693">
        <v>2.5</v>
      </c>
      <c r="D32" s="693">
        <v>1551.6</v>
      </c>
      <c r="E32" s="860">
        <v>486.9</v>
      </c>
      <c r="F32" s="861">
        <v>3626.4</v>
      </c>
      <c r="G32" s="862">
        <v>594.79999999999995</v>
      </c>
      <c r="H32" s="1139">
        <f t="shared" ref="H32" si="6">SUM(C32:G32)</f>
        <v>6262.2</v>
      </c>
      <c r="I32" s="1140">
        <v>0</v>
      </c>
      <c r="J32" s="859">
        <v>659.4</v>
      </c>
      <c r="K32" s="860">
        <v>4686.3</v>
      </c>
      <c r="L32" s="863">
        <v>6.3</v>
      </c>
      <c r="M32" s="766">
        <v>0</v>
      </c>
      <c r="N32" s="864">
        <v>224.6</v>
      </c>
      <c r="O32" s="865">
        <v>685.6</v>
      </c>
      <c r="P32" s="801"/>
    </row>
    <row r="33" spans="1:16" s="321" customFormat="1" ht="15">
      <c r="A33" s="770"/>
      <c r="B33" s="771" t="s">
        <v>416</v>
      </c>
      <c r="C33" s="693">
        <v>2.5</v>
      </c>
      <c r="D33" s="693">
        <v>1533.1</v>
      </c>
      <c r="E33" s="860">
        <v>692.2</v>
      </c>
      <c r="F33" s="861">
        <v>3342.9</v>
      </c>
      <c r="G33" s="862">
        <v>530.70000000000005</v>
      </c>
      <c r="H33" s="1139">
        <f t="shared" ref="H33" si="7">SUM(C33:G33)</f>
        <v>6101.4000000000005</v>
      </c>
      <c r="I33" s="1140">
        <v>0</v>
      </c>
      <c r="J33" s="859">
        <v>675.3</v>
      </c>
      <c r="K33" s="860">
        <v>4497</v>
      </c>
      <c r="L33" s="863">
        <v>13.8</v>
      </c>
      <c r="M33" s="766">
        <v>0</v>
      </c>
      <c r="N33" s="864">
        <v>224.9</v>
      </c>
      <c r="O33" s="865">
        <v>690.4</v>
      </c>
      <c r="P33" s="801"/>
    </row>
    <row r="34" spans="1:16" s="321" customFormat="1" ht="15">
      <c r="A34" s="770"/>
      <c r="B34" s="771" t="s">
        <v>417</v>
      </c>
      <c r="C34" s="693">
        <v>2.5</v>
      </c>
      <c r="D34" s="693">
        <v>1515.9</v>
      </c>
      <c r="E34" s="860">
        <v>593.79999999999995</v>
      </c>
      <c r="F34" s="861">
        <v>3634.8</v>
      </c>
      <c r="G34" s="862">
        <v>565</v>
      </c>
      <c r="H34" s="1139">
        <f t="shared" ref="H34" si="8">SUM(C34:G34)</f>
        <v>6312</v>
      </c>
      <c r="I34" s="1140">
        <v>0</v>
      </c>
      <c r="J34" s="859">
        <v>700.1</v>
      </c>
      <c r="K34" s="860">
        <v>4380.5</v>
      </c>
      <c r="L34" s="863">
        <v>306.7</v>
      </c>
      <c r="M34" s="766">
        <v>0</v>
      </c>
      <c r="N34" s="864">
        <v>227.6</v>
      </c>
      <c r="O34" s="865">
        <v>697.1</v>
      </c>
      <c r="P34" s="801"/>
    </row>
    <row r="35" spans="1:16" s="321" customFormat="1" ht="15">
      <c r="A35" s="770"/>
      <c r="B35" s="771" t="s">
        <v>418</v>
      </c>
      <c r="C35" s="693">
        <v>2.5</v>
      </c>
      <c r="D35" s="693">
        <v>1369.2</v>
      </c>
      <c r="E35" s="860">
        <v>449.7</v>
      </c>
      <c r="F35" s="861">
        <v>3938.4</v>
      </c>
      <c r="G35" s="862">
        <v>597.1</v>
      </c>
      <c r="H35" s="1139">
        <f t="shared" ref="H35" si="9">SUM(C35:G35)</f>
        <v>6356.9000000000005</v>
      </c>
      <c r="I35" s="1140">
        <v>0</v>
      </c>
      <c r="J35" s="859">
        <v>707</v>
      </c>
      <c r="K35" s="860">
        <v>4430.2</v>
      </c>
      <c r="L35" s="863">
        <v>298.89999999999998</v>
      </c>
      <c r="M35" s="766">
        <v>0</v>
      </c>
      <c r="N35" s="864">
        <v>216.3</v>
      </c>
      <c r="O35" s="865">
        <v>704.5</v>
      </c>
      <c r="P35" s="801"/>
    </row>
    <row r="36" spans="1:16" s="321" customFormat="1" ht="15">
      <c r="A36" s="770"/>
      <c r="B36" s="771" t="s">
        <v>419</v>
      </c>
      <c r="C36" s="693">
        <v>2.5</v>
      </c>
      <c r="D36" s="693">
        <v>1338.2</v>
      </c>
      <c r="E36" s="860">
        <v>91.6</v>
      </c>
      <c r="F36" s="861">
        <v>4109.8</v>
      </c>
      <c r="G36" s="862">
        <v>592.9</v>
      </c>
      <c r="H36" s="1139">
        <f t="shared" ref="H36:H37" si="10">SUM(C36:G36)</f>
        <v>6135</v>
      </c>
      <c r="I36" s="1140">
        <v>0</v>
      </c>
      <c r="J36" s="859">
        <v>702.3</v>
      </c>
      <c r="K36" s="860">
        <v>4487.6000000000004</v>
      </c>
      <c r="L36" s="863">
        <v>13.6</v>
      </c>
      <c r="M36" s="766">
        <v>0</v>
      </c>
      <c r="N36" s="864">
        <v>220.9</v>
      </c>
      <c r="O36" s="865">
        <v>710.6</v>
      </c>
      <c r="P36" s="801"/>
    </row>
    <row r="37" spans="1:16" s="321" customFormat="1" ht="15">
      <c r="A37" s="770"/>
      <c r="B37" s="771" t="s">
        <v>420</v>
      </c>
      <c r="C37" s="693">
        <v>2.5</v>
      </c>
      <c r="D37" s="693">
        <v>1505</v>
      </c>
      <c r="E37" s="860">
        <v>91.4</v>
      </c>
      <c r="F37" s="861">
        <v>4346.3999999999996</v>
      </c>
      <c r="G37" s="862">
        <v>639.5</v>
      </c>
      <c r="H37" s="1139">
        <f t="shared" si="10"/>
        <v>6584.7999999999993</v>
      </c>
      <c r="I37" s="1140">
        <v>0</v>
      </c>
      <c r="J37" s="859">
        <v>695</v>
      </c>
      <c r="K37" s="860">
        <v>4956.1000000000004</v>
      </c>
      <c r="L37" s="863">
        <v>14.3</v>
      </c>
      <c r="M37" s="766">
        <v>0</v>
      </c>
      <c r="N37" s="864">
        <v>203.2</v>
      </c>
      <c r="O37" s="865">
        <v>716.2</v>
      </c>
      <c r="P37" s="801"/>
    </row>
    <row r="38" spans="1:16" s="321" customFormat="1" ht="15">
      <c r="A38" s="770"/>
      <c r="B38" s="771" t="s">
        <v>421</v>
      </c>
      <c r="C38" s="693">
        <v>2.5</v>
      </c>
      <c r="D38" s="693">
        <v>1478.3</v>
      </c>
      <c r="E38" s="860">
        <v>91.7</v>
      </c>
      <c r="F38" s="861">
        <v>4461.8999999999996</v>
      </c>
      <c r="G38" s="862">
        <v>642.29999999999995</v>
      </c>
      <c r="H38" s="1139">
        <f t="shared" ref="H38:H39" si="11">SUM(C38:G38)</f>
        <v>6676.7</v>
      </c>
      <c r="I38" s="1140">
        <v>0</v>
      </c>
      <c r="J38" s="859">
        <v>674</v>
      </c>
      <c r="K38" s="860">
        <v>5004</v>
      </c>
      <c r="L38" s="863">
        <v>16</v>
      </c>
      <c r="M38" s="766">
        <v>0</v>
      </c>
      <c r="N38" s="864">
        <v>261.39999999999998</v>
      </c>
      <c r="O38" s="865">
        <v>721.3</v>
      </c>
      <c r="P38" s="801"/>
    </row>
    <row r="39" spans="1:16" s="321" customFormat="1" ht="15">
      <c r="A39" s="770"/>
      <c r="B39" s="771" t="s">
        <v>422</v>
      </c>
      <c r="C39" s="693">
        <v>2.5</v>
      </c>
      <c r="D39" s="693">
        <v>1621.5</v>
      </c>
      <c r="E39" s="860">
        <v>90.7</v>
      </c>
      <c r="F39" s="861">
        <v>4579.8</v>
      </c>
      <c r="G39" s="862">
        <v>646.9</v>
      </c>
      <c r="H39" s="1139">
        <f t="shared" si="11"/>
        <v>6941.4</v>
      </c>
      <c r="I39" s="1140">
        <v>0</v>
      </c>
      <c r="J39" s="859">
        <v>674.3</v>
      </c>
      <c r="K39" s="860">
        <v>5281.4</v>
      </c>
      <c r="L39" s="863">
        <v>5.2</v>
      </c>
      <c r="M39" s="766">
        <v>0</v>
      </c>
      <c r="N39" s="864">
        <v>254.1</v>
      </c>
      <c r="O39" s="865">
        <v>726.4</v>
      </c>
      <c r="P39" s="801"/>
    </row>
    <row r="40" spans="1:16" s="321" customFormat="1" ht="15">
      <c r="A40" s="770"/>
      <c r="B40" s="771" t="s">
        <v>423</v>
      </c>
      <c r="C40" s="693">
        <v>2.5</v>
      </c>
      <c r="D40" s="693">
        <v>1909.7</v>
      </c>
      <c r="E40" s="860">
        <v>91.5</v>
      </c>
      <c r="F40" s="861">
        <v>4473.8999999999996</v>
      </c>
      <c r="G40" s="862">
        <v>626.1</v>
      </c>
      <c r="H40" s="1139">
        <f t="shared" ref="H40" si="12">SUM(C40:G40)</f>
        <v>7103.7</v>
      </c>
      <c r="I40" s="1140">
        <v>0</v>
      </c>
      <c r="J40" s="859">
        <v>672.7</v>
      </c>
      <c r="K40" s="860">
        <v>5441.1</v>
      </c>
      <c r="L40" s="863">
        <v>7.3</v>
      </c>
      <c r="M40" s="766">
        <v>0</v>
      </c>
      <c r="N40" s="864">
        <v>252.5</v>
      </c>
      <c r="O40" s="865">
        <v>730.1</v>
      </c>
      <c r="P40" s="801"/>
    </row>
    <row r="41" spans="1:16" s="321" customFormat="1" ht="15">
      <c r="A41" s="770"/>
      <c r="B41" s="771" t="s">
        <v>424</v>
      </c>
      <c r="C41" s="693">
        <v>2.5</v>
      </c>
      <c r="D41" s="693">
        <v>1592.2</v>
      </c>
      <c r="E41" s="860">
        <v>91.6</v>
      </c>
      <c r="F41" s="861">
        <v>4722.8</v>
      </c>
      <c r="G41" s="862">
        <v>605.5</v>
      </c>
      <c r="H41" s="1139">
        <f t="shared" ref="H41" si="13">SUM(C41:G41)</f>
        <v>7014.6</v>
      </c>
      <c r="I41" s="1140">
        <v>0</v>
      </c>
      <c r="J41" s="859">
        <v>678.3</v>
      </c>
      <c r="K41" s="860">
        <v>5349.2</v>
      </c>
      <c r="L41" s="863">
        <v>2.2999999999999998</v>
      </c>
      <c r="M41" s="766">
        <v>0</v>
      </c>
      <c r="N41" s="864">
        <v>251</v>
      </c>
      <c r="O41" s="865">
        <v>733.8</v>
      </c>
      <c r="P41" s="801"/>
    </row>
    <row r="42" spans="1:16" s="321" customFormat="1" ht="15">
      <c r="A42" s="770"/>
      <c r="B42" s="771" t="s">
        <v>425</v>
      </c>
      <c r="C42" s="693">
        <v>2.5</v>
      </c>
      <c r="D42" s="693">
        <v>1241.7</v>
      </c>
      <c r="E42" s="860">
        <v>91.1</v>
      </c>
      <c r="F42" s="861">
        <v>5078.6000000000004</v>
      </c>
      <c r="G42" s="862">
        <v>613.6</v>
      </c>
      <c r="H42" s="1139">
        <f t="shared" ref="H42" si="14">SUM(C42:G42)</f>
        <v>7027.5000000000009</v>
      </c>
      <c r="I42" s="1140">
        <v>0</v>
      </c>
      <c r="J42" s="859">
        <v>682.2</v>
      </c>
      <c r="K42" s="860">
        <v>5345.5</v>
      </c>
      <c r="L42" s="863">
        <v>6.1</v>
      </c>
      <c r="M42" s="766">
        <v>0</v>
      </c>
      <c r="N42" s="864">
        <v>256.60000000000002</v>
      </c>
      <c r="O42" s="865">
        <v>737.1</v>
      </c>
      <c r="P42" s="801"/>
    </row>
    <row r="43" spans="1:16" s="321" customFormat="1" ht="15">
      <c r="A43" s="770"/>
      <c r="B43" s="771" t="s">
        <v>426</v>
      </c>
      <c r="C43" s="693">
        <v>2.5</v>
      </c>
      <c r="D43" s="693">
        <v>1425</v>
      </c>
      <c r="E43" s="860">
        <v>96.1</v>
      </c>
      <c r="F43" s="861">
        <v>4294.7</v>
      </c>
      <c r="G43" s="862">
        <v>621.70000000000005</v>
      </c>
      <c r="H43" s="1139">
        <f t="shared" ref="H43" si="15">SUM(C43:G43)</f>
        <v>6439.9999999999991</v>
      </c>
      <c r="I43" s="1140">
        <v>0</v>
      </c>
      <c r="J43" s="859">
        <v>670.8</v>
      </c>
      <c r="K43" s="860">
        <v>4774.8999999999996</v>
      </c>
      <c r="L43" s="863">
        <v>6.6</v>
      </c>
      <c r="M43" s="766">
        <v>0</v>
      </c>
      <c r="N43" s="864">
        <v>254.8</v>
      </c>
      <c r="O43" s="865">
        <v>732.9</v>
      </c>
      <c r="P43" s="801"/>
    </row>
    <row r="44" spans="1:16" ht="12.2" customHeight="1">
      <c r="A44" s="220"/>
      <c r="B44" s="220"/>
      <c r="C44" s="220"/>
      <c r="D44" s="220"/>
      <c r="E44" s="220"/>
      <c r="F44" s="1449"/>
      <c r="G44" s="220"/>
      <c r="H44" s="220" t="s">
        <v>119</v>
      </c>
      <c r="I44" s="220"/>
      <c r="J44" s="220"/>
      <c r="K44" s="220"/>
      <c r="L44" s="220"/>
      <c r="M44" s="220"/>
      <c r="N44" s="220"/>
      <c r="O44" s="1117"/>
    </row>
    <row r="45" spans="1:16" ht="12.75" customHeight="1">
      <c r="N45" s="146"/>
      <c r="O45" s="3"/>
    </row>
    <row r="46" spans="1:16" ht="14.25">
      <c r="A46" s="318" t="s">
        <v>428</v>
      </c>
      <c r="B46" s="3"/>
      <c r="C46" s="3"/>
      <c r="D46" s="3"/>
      <c r="E46" s="3"/>
      <c r="F46" s="3"/>
      <c r="G46" s="3"/>
      <c r="H46" s="3"/>
      <c r="I46" s="3"/>
      <c r="J46" s="3"/>
      <c r="K46" s="3"/>
      <c r="L46" s="3"/>
      <c r="M46" s="3"/>
      <c r="N46" s="146"/>
      <c r="O46" s="3"/>
    </row>
    <row r="50" spans="3:16">
      <c r="C50" s="1451"/>
      <c r="D50" s="1451"/>
      <c r="E50" s="1451"/>
      <c r="F50" s="1451"/>
      <c r="G50" s="1451"/>
      <c r="H50" s="1451"/>
      <c r="I50" s="2052"/>
      <c r="J50" s="1451"/>
      <c r="K50" s="1451"/>
      <c r="L50" s="1451"/>
      <c r="M50" s="1451"/>
      <c r="N50" s="1451"/>
      <c r="O50" s="1451"/>
      <c r="P50" s="25"/>
    </row>
  </sheetData>
  <phoneticPr fontId="0" type="noConversion"/>
  <printOptions horizontalCentered="1" verticalCentered="1"/>
  <pageMargins left="0" right="0" top="0" bottom="0" header="0.51181102362204722" footer="0.51181102362204722"/>
  <pageSetup paperSize="9" scale="77"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47"/>
  <sheetViews>
    <sheetView zoomScale="70" zoomScaleNormal="70" zoomScaleSheetLayoutView="62" workbookViewId="0">
      <pane ySplit="13" topLeftCell="A31" activePane="bottomLeft" state="frozen"/>
      <selection activeCell="B12" sqref="B12"/>
      <selection pane="bottomLeft" activeCell="B12" sqref="B12"/>
    </sheetView>
  </sheetViews>
  <sheetFormatPr defaultColWidth="9.140625" defaultRowHeight="12.75"/>
  <cols>
    <col min="1" max="2" width="9.7109375" style="445" customWidth="1"/>
    <col min="3" max="3" width="18.28515625" style="445" bestFit="1" customWidth="1"/>
    <col min="4" max="4" width="24.5703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1105</v>
      </c>
      <c r="B1" s="831"/>
      <c r="C1" s="831"/>
      <c r="D1" s="831"/>
      <c r="E1" s="831"/>
      <c r="F1" s="831"/>
      <c r="G1" s="831"/>
      <c r="H1" s="831"/>
      <c r="I1" s="831"/>
      <c r="J1" s="831"/>
    </row>
    <row r="2" spans="1:10" ht="18" customHeight="1">
      <c r="A2" s="831" t="s">
        <v>1106</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1269" t="s">
        <v>1107</v>
      </c>
      <c r="B4" s="1269"/>
      <c r="C4" s="1269"/>
      <c r="D4" s="1269"/>
      <c r="E4" s="1269"/>
      <c r="F4" s="1269"/>
      <c r="G4" s="1269"/>
      <c r="H4" s="1269"/>
      <c r="I4" s="1269"/>
      <c r="J4" s="1269"/>
    </row>
    <row r="5" spans="1:10" ht="15.95" customHeight="1">
      <c r="A5" s="1270" t="s">
        <v>1108</v>
      </c>
      <c r="B5" s="1270"/>
      <c r="C5" s="1270"/>
      <c r="D5" s="1270"/>
      <c r="E5" s="1270"/>
      <c r="F5" s="1270"/>
      <c r="G5" s="1270"/>
      <c r="H5" s="1270"/>
      <c r="I5" s="1270"/>
      <c r="J5" s="1270"/>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1271" t="s">
        <v>965</v>
      </c>
      <c r="B9" s="1271"/>
      <c r="C9" s="447"/>
      <c r="D9" s="447"/>
      <c r="E9" s="447"/>
      <c r="F9" s="833"/>
      <c r="G9" s="447"/>
      <c r="H9" s="447"/>
      <c r="I9" s="447"/>
      <c r="J9" s="834" t="s">
        <v>966</v>
      </c>
    </row>
    <row r="10" spans="1:10" s="487" customFormat="1" ht="15">
      <c r="A10" s="484"/>
      <c r="B10" s="485"/>
      <c r="C10" s="1272" t="s">
        <v>390</v>
      </c>
      <c r="D10" s="1273"/>
      <c r="E10" s="1272" t="s">
        <v>1109</v>
      </c>
      <c r="F10" s="1273"/>
      <c r="G10" s="1272" t="s">
        <v>1110</v>
      </c>
      <c r="H10" s="1273"/>
      <c r="I10" s="1272" t="s">
        <v>1111</v>
      </c>
      <c r="J10" s="1273"/>
    </row>
    <row r="11" spans="1:10" s="487" customFormat="1" ht="14.25" customHeight="1">
      <c r="A11" s="835" t="s">
        <v>383</v>
      </c>
      <c r="B11" s="836"/>
      <c r="C11" s="1261" t="s">
        <v>1112</v>
      </c>
      <c r="D11" s="1262"/>
      <c r="E11" s="1263" t="s">
        <v>1113</v>
      </c>
      <c r="F11" s="1264"/>
      <c r="G11" s="1265" t="s">
        <v>1114</v>
      </c>
      <c r="H11" s="1266"/>
      <c r="I11" s="1267" t="s">
        <v>1115</v>
      </c>
      <c r="J11" s="1268"/>
    </row>
    <row r="12" spans="1:10" s="487" customFormat="1" ht="45">
      <c r="A12" s="837" t="s">
        <v>391</v>
      </c>
      <c r="B12" s="838"/>
      <c r="C12" s="854" t="s">
        <v>1116</v>
      </c>
      <c r="D12" s="885" t="s">
        <v>1117</v>
      </c>
      <c r="E12" s="854" t="s">
        <v>1118</v>
      </c>
      <c r="F12" s="854" t="s">
        <v>1119</v>
      </c>
      <c r="G12" s="854" t="s">
        <v>1120</v>
      </c>
      <c r="H12" s="854" t="s">
        <v>1121</v>
      </c>
      <c r="I12" s="854" t="s">
        <v>1122</v>
      </c>
      <c r="J12" s="854" t="s">
        <v>1123</v>
      </c>
    </row>
    <row r="13" spans="1:10" s="501" customFormat="1" ht="48.75" customHeight="1">
      <c r="A13" s="495"/>
      <c r="B13" s="839"/>
      <c r="C13" s="1210" t="s">
        <v>1124</v>
      </c>
      <c r="D13" s="1211" t="s">
        <v>1125</v>
      </c>
      <c r="E13" s="1211" t="s">
        <v>1126</v>
      </c>
      <c r="F13" s="1211" t="s">
        <v>1127</v>
      </c>
      <c r="G13" s="1211" t="s">
        <v>1128</v>
      </c>
      <c r="H13" s="1211" t="s">
        <v>1129</v>
      </c>
      <c r="I13" s="1212" t="s">
        <v>1130</v>
      </c>
      <c r="J13" s="1212" t="s">
        <v>1131</v>
      </c>
    </row>
    <row r="14" spans="1:10" s="487" customFormat="1" ht="20.25" customHeight="1">
      <c r="A14" s="840">
        <v>2014</v>
      </c>
      <c r="B14" s="514"/>
      <c r="C14" s="841">
        <v>20.315699221505479</v>
      </c>
      <c r="D14" s="841">
        <v>17.899939351799361</v>
      </c>
      <c r="E14" s="841">
        <v>5.5697869738227084</v>
      </c>
      <c r="F14" s="841">
        <v>62.801152201131472</v>
      </c>
      <c r="G14" s="841">
        <v>0.99863365659487902</v>
      </c>
      <c r="H14" s="841">
        <v>6.235638638183203</v>
      </c>
      <c r="I14" s="842">
        <v>22.132161654348369</v>
      </c>
      <c r="J14" s="841">
        <v>67.45395280910472</v>
      </c>
    </row>
    <row r="15" spans="1:10" s="487" customFormat="1" ht="15.95" customHeight="1">
      <c r="A15" s="840">
        <v>2015</v>
      </c>
      <c r="B15" s="514"/>
      <c r="C15" s="841">
        <v>18.969857827339677</v>
      </c>
      <c r="D15" s="841">
        <v>17.387613930222184</v>
      </c>
      <c r="E15" s="841">
        <v>5.2723574972273886</v>
      </c>
      <c r="F15" s="841">
        <v>59.166730085286723</v>
      </c>
      <c r="G15" s="841">
        <v>0.80139841571120063</v>
      </c>
      <c r="H15" s="841">
        <v>4.6010373766319796</v>
      </c>
      <c r="I15" s="842">
        <v>22.968676791184834</v>
      </c>
      <c r="J15" s="841">
        <v>68.102861666160678</v>
      </c>
    </row>
    <row r="16" spans="1:10" s="487" customFormat="1" ht="15.95" customHeight="1">
      <c r="A16" s="840">
        <v>2016</v>
      </c>
      <c r="B16" s="514"/>
      <c r="C16" s="841">
        <v>19.271763034294125</v>
      </c>
      <c r="D16" s="841">
        <v>17.856778858990189</v>
      </c>
      <c r="E16" s="841">
        <v>5.9293416076312253</v>
      </c>
      <c r="F16" s="841">
        <v>56.561342133462325</v>
      </c>
      <c r="G16" s="841">
        <v>0.96755291592906834</v>
      </c>
      <c r="H16" s="841">
        <v>6.8464502980658857</v>
      </c>
      <c r="I16" s="842">
        <v>21.875964390208484</v>
      </c>
      <c r="J16" s="841">
        <v>66.576230494260798</v>
      </c>
    </row>
    <row r="17" spans="1:19" s="487" customFormat="1" ht="15.95" customHeight="1">
      <c r="A17" s="840">
        <v>2017</v>
      </c>
      <c r="B17" s="514"/>
      <c r="C17" s="841">
        <v>19.467028355985747</v>
      </c>
      <c r="D17" s="841">
        <v>18.169120787234917</v>
      </c>
      <c r="E17" s="841">
        <v>5.6163834058364221</v>
      </c>
      <c r="F17" s="841">
        <v>52.83550911154726</v>
      </c>
      <c r="G17" s="841">
        <v>1.0892581633441316</v>
      </c>
      <c r="H17" s="841">
        <v>7.0807077237660527</v>
      </c>
      <c r="I17" s="842">
        <v>23.988770662848083</v>
      </c>
      <c r="J17" s="841">
        <v>71.031812812504185</v>
      </c>
    </row>
    <row r="18" spans="1:19" s="487" customFormat="1" ht="16.5" customHeight="1">
      <c r="A18" s="840">
        <v>2018</v>
      </c>
      <c r="B18" s="847"/>
      <c r="C18" s="841">
        <v>18.915073073036428</v>
      </c>
      <c r="D18" s="841">
        <v>17.598240043315467</v>
      </c>
      <c r="E18" s="841">
        <v>5.5003195418057613</v>
      </c>
      <c r="F18" s="841">
        <v>61.162225836007586</v>
      </c>
      <c r="G18" s="841">
        <v>0.97588209001592852</v>
      </c>
      <c r="H18" s="841">
        <v>6.7140487103032758</v>
      </c>
      <c r="I18" s="842">
        <v>24.068476746837828</v>
      </c>
      <c r="J18" s="841">
        <v>72.102470225648986</v>
      </c>
      <c r="K18" s="845"/>
      <c r="L18" s="846"/>
      <c r="M18" s="846"/>
      <c r="N18" s="846"/>
      <c r="O18" s="846"/>
      <c r="P18" s="846"/>
      <c r="Q18" s="846"/>
      <c r="R18" s="846"/>
      <c r="S18" s="846"/>
    </row>
    <row r="19" spans="1:19" s="487" customFormat="1" ht="16.5" customHeight="1">
      <c r="A19" s="840">
        <v>2019</v>
      </c>
      <c r="B19" s="847"/>
      <c r="C19" s="841">
        <v>19.386342384019525</v>
      </c>
      <c r="D19" s="841">
        <v>18.056049608881882</v>
      </c>
      <c r="E19" s="841">
        <v>4.7796278320084049</v>
      </c>
      <c r="F19" s="841">
        <v>62.033098412681554</v>
      </c>
      <c r="G19" s="841">
        <v>1.1056498188177797</v>
      </c>
      <c r="H19" s="841">
        <v>8.734118190132989</v>
      </c>
      <c r="I19" s="841">
        <v>25.51102422152444</v>
      </c>
      <c r="J19" s="841">
        <v>69.009467772337302</v>
      </c>
      <c r="K19" s="845"/>
      <c r="L19" s="846"/>
      <c r="M19" s="846"/>
      <c r="N19" s="846"/>
      <c r="O19" s="846"/>
      <c r="P19" s="846"/>
      <c r="Q19" s="846"/>
      <c r="R19" s="846"/>
      <c r="S19" s="846"/>
    </row>
    <row r="20" spans="1:19" s="487" customFormat="1" ht="16.5" customHeight="1">
      <c r="A20" s="840">
        <v>2020</v>
      </c>
      <c r="B20" s="847"/>
      <c r="C20" s="841">
        <v>18.600947219444649</v>
      </c>
      <c r="D20" s="841">
        <v>17.296402892787857</v>
      </c>
      <c r="E20" s="841">
        <v>4.2657575047379286</v>
      </c>
      <c r="F20" s="841">
        <v>68.026538818280557</v>
      </c>
      <c r="G20" s="841">
        <v>0.71891570353114365</v>
      </c>
      <c r="H20" s="841">
        <v>2.837000349748652</v>
      </c>
      <c r="I20" s="842">
        <v>24.561658093213076</v>
      </c>
      <c r="J20" s="841">
        <v>68.958897996515901</v>
      </c>
      <c r="K20" s="845"/>
      <c r="L20" s="846"/>
      <c r="M20" s="846"/>
      <c r="N20" s="846"/>
      <c r="O20" s="846"/>
      <c r="P20" s="846"/>
      <c r="Q20" s="846"/>
      <c r="R20" s="846"/>
      <c r="S20" s="846"/>
    </row>
    <row r="21" spans="1:19" s="487" customFormat="1" ht="16.5" customHeight="1">
      <c r="A21" s="840">
        <v>2021</v>
      </c>
      <c r="B21" s="847"/>
      <c r="C21" s="841">
        <v>18.657327930347265</v>
      </c>
      <c r="D21" s="841">
        <v>17.197064877580726</v>
      </c>
      <c r="E21" s="841">
        <v>3.1678523586705665</v>
      </c>
      <c r="F21" s="841">
        <v>70.085570362563615</v>
      </c>
      <c r="G21" s="841">
        <v>1.1490923387327492</v>
      </c>
      <c r="H21" s="841">
        <v>7.9768092303328153</v>
      </c>
      <c r="I21" s="842">
        <v>26.192404957063808</v>
      </c>
      <c r="J21" s="841">
        <v>68.184256454742993</v>
      </c>
      <c r="K21" s="845"/>
      <c r="L21" s="846"/>
      <c r="M21" s="846"/>
      <c r="N21" s="846"/>
      <c r="O21" s="846"/>
      <c r="P21" s="846"/>
      <c r="Q21" s="846"/>
      <c r="R21" s="846"/>
      <c r="S21" s="846"/>
    </row>
    <row r="22" spans="1:19" s="487" customFormat="1" ht="16.5" customHeight="1">
      <c r="A22" s="840">
        <v>2022</v>
      </c>
      <c r="B22" s="847"/>
      <c r="C22" s="841">
        <f t="shared" ref="C22:J22" si="0">C35</f>
        <v>19.523639490447152</v>
      </c>
      <c r="D22" s="841">
        <f t="shared" si="0"/>
        <v>18.070895831357955</v>
      </c>
      <c r="E22" s="1324">
        <f t="shared" si="0"/>
        <v>3.0036964791129908</v>
      </c>
      <c r="F22" s="841">
        <f t="shared" si="0"/>
        <v>68.493738119904904</v>
      </c>
      <c r="G22" s="841">
        <f t="shared" si="0"/>
        <v>1.2407482706308763</v>
      </c>
      <c r="H22" s="841">
        <f t="shared" si="0"/>
        <v>8.5853827719361284</v>
      </c>
      <c r="I22" s="842">
        <f t="shared" si="0"/>
        <v>25.331317438677413</v>
      </c>
      <c r="J22" s="841">
        <f t="shared" si="0"/>
        <v>66.428160187795442</v>
      </c>
      <c r="K22" s="845"/>
      <c r="L22" s="846"/>
      <c r="M22" s="846"/>
      <c r="N22" s="846"/>
      <c r="O22" s="846"/>
      <c r="P22" s="846"/>
      <c r="Q22" s="846"/>
      <c r="R22" s="846"/>
      <c r="S22" s="846"/>
    </row>
    <row r="23" spans="1:19" s="487" customFormat="1" ht="16.5" customHeight="1">
      <c r="A23" s="843">
        <v>2023</v>
      </c>
      <c r="B23" s="844"/>
      <c r="C23" s="851">
        <f t="shared" ref="C23:J23" si="1">C39</f>
        <v>19.677594192851963</v>
      </c>
      <c r="D23" s="851">
        <f t="shared" si="1"/>
        <v>18.117877839885978</v>
      </c>
      <c r="E23" s="851">
        <f t="shared" si="1"/>
        <v>2.9051825997236747</v>
      </c>
      <c r="F23" s="851">
        <f t="shared" si="1"/>
        <v>59.824019303886736</v>
      </c>
      <c r="G23" s="851">
        <f t="shared" si="1"/>
        <v>1.2580474229025358</v>
      </c>
      <c r="H23" s="851">
        <f t="shared" si="1"/>
        <v>9.2500592194997626</v>
      </c>
      <c r="I23" s="852">
        <f t="shared" si="1"/>
        <v>25.709162584325206</v>
      </c>
      <c r="J23" s="851">
        <f t="shared" si="1"/>
        <v>62.521147689983337</v>
      </c>
      <c r="K23" s="845"/>
      <c r="L23" s="846"/>
      <c r="M23" s="846"/>
      <c r="N23" s="846"/>
      <c r="O23" s="846"/>
      <c r="P23" s="846"/>
      <c r="Q23" s="846"/>
      <c r="R23" s="846"/>
      <c r="S23" s="846"/>
    </row>
    <row r="24" spans="1:19" s="846" customFormat="1" ht="21.2" customHeight="1">
      <c r="A24" s="848">
        <v>2020</v>
      </c>
      <c r="B24" s="849" t="s">
        <v>243</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244</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245</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242</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243</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244</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245</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242</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243</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8" s="846" customFormat="1" ht="16.5" customHeight="1">
      <c r="A33" s="848"/>
      <c r="B33" s="849" t="s">
        <v>244</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8" s="846" customFormat="1" ht="16.5" customHeight="1">
      <c r="A34" s="848"/>
      <c r="B34" s="1116" t="s">
        <v>245</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8" s="846" customFormat="1" ht="16.5" customHeight="1">
      <c r="A35" s="848"/>
      <c r="B35" s="1116" t="s">
        <v>242</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8" s="846" customFormat="1" ht="20.25" customHeight="1">
      <c r="A36" s="848">
        <v>2023</v>
      </c>
      <c r="B36" s="849" t="s">
        <v>243</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8" s="846" customFormat="1" ht="16.5" customHeight="1">
      <c r="A37" s="848"/>
      <c r="B37" s="1116" t="s">
        <v>244</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8" s="846" customFormat="1" ht="16.5" customHeight="1">
      <c r="A38" s="848"/>
      <c r="B38" s="1116" t="s">
        <v>245</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8" s="846" customFormat="1" ht="16.5" customHeight="1">
      <c r="A39" s="848"/>
      <c r="B39" s="1116" t="s">
        <v>242</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8" s="846" customFormat="1" ht="20.25" customHeight="1">
      <c r="A40" s="848">
        <v>2024</v>
      </c>
      <c r="B40" s="849" t="s">
        <v>243</v>
      </c>
      <c r="C40" s="841">
        <v>22.2</v>
      </c>
      <c r="D40" s="841">
        <v>20.6</v>
      </c>
      <c r="E40" s="841">
        <v>2.9</v>
      </c>
      <c r="F40" s="841">
        <v>58.9</v>
      </c>
      <c r="G40" s="841">
        <v>0.5</v>
      </c>
      <c r="H40" s="841">
        <v>3.4</v>
      </c>
      <c r="I40" s="842">
        <v>29.3</v>
      </c>
      <c r="J40" s="841">
        <v>60.1</v>
      </c>
    </row>
    <row r="41" spans="1:18" s="846" customFormat="1" ht="16.5" customHeight="1">
      <c r="A41" s="848"/>
      <c r="B41" s="1116" t="s">
        <v>244</v>
      </c>
      <c r="C41" s="841">
        <v>20.399999999999999</v>
      </c>
      <c r="D41" s="841">
        <v>19</v>
      </c>
      <c r="E41" s="841">
        <v>3</v>
      </c>
      <c r="F41" s="841">
        <v>59.1</v>
      </c>
      <c r="G41" s="841">
        <v>0.7</v>
      </c>
      <c r="H41" s="841">
        <v>6.2</v>
      </c>
      <c r="I41" s="842">
        <v>25.6</v>
      </c>
      <c r="J41" s="841">
        <v>58.8</v>
      </c>
    </row>
    <row r="42" spans="1:18" s="846" customFormat="1" ht="16.5" customHeight="1">
      <c r="A42" s="848"/>
      <c r="B42" s="1116" t="s">
        <v>1712</v>
      </c>
      <c r="C42" s="841">
        <v>20.5</v>
      </c>
      <c r="D42" s="841">
        <v>19.100000000000001</v>
      </c>
      <c r="E42" s="841">
        <v>2.9</v>
      </c>
      <c r="F42" s="841">
        <v>55</v>
      </c>
      <c r="G42" s="841">
        <v>1</v>
      </c>
      <c r="H42" s="841">
        <v>8.9</v>
      </c>
      <c r="I42" s="842">
        <v>27.2</v>
      </c>
      <c r="J42" s="841">
        <v>60.1</v>
      </c>
    </row>
    <row r="43" spans="1:18" ht="21.2" customHeight="1">
      <c r="A43" s="462" t="s">
        <v>1132</v>
      </c>
      <c r="B43" s="462"/>
      <c r="C43" s="462"/>
      <c r="D43" s="462"/>
      <c r="E43" s="462"/>
      <c r="F43" s="462"/>
      <c r="G43" s="462"/>
      <c r="H43" s="462"/>
      <c r="I43" s="462"/>
      <c r="J43" s="858" t="s">
        <v>1133</v>
      </c>
    </row>
    <row r="44" spans="1:18" ht="13.15" customHeight="1">
      <c r="A44" s="445" t="s">
        <v>1134</v>
      </c>
      <c r="J44" s="856" t="s">
        <v>1135</v>
      </c>
    </row>
    <row r="45" spans="1:18" ht="13.7" customHeight="1"/>
    <row r="46" spans="1:18" ht="14.25">
      <c r="A46" s="1683" t="s">
        <v>1136</v>
      </c>
      <c r="B46" s="444"/>
      <c r="C46" s="444"/>
      <c r="D46" s="444"/>
      <c r="E46" s="444"/>
      <c r="F46" s="444"/>
      <c r="G46" s="444"/>
      <c r="H46" s="444"/>
      <c r="I46" s="444"/>
      <c r="J46" s="444"/>
    </row>
    <row r="47" spans="1:18" s="1688" customFormat="1" ht="14.25">
      <c r="A47" s="1684"/>
      <c r="B47" s="1685"/>
      <c r="C47" s="1685"/>
      <c r="D47" s="1685"/>
      <c r="E47" s="1685"/>
      <c r="F47" s="1685"/>
      <c r="G47" s="1685"/>
      <c r="H47" s="1685"/>
      <c r="I47" s="1685"/>
      <c r="J47" s="1685"/>
      <c r="K47" s="1686"/>
      <c r="L47" s="1687"/>
      <c r="M47" s="1686"/>
      <c r="N47" s="1686"/>
      <c r="O47" s="1686"/>
      <c r="P47" s="1686"/>
      <c r="Q47" s="1686"/>
      <c r="R47" s="1686"/>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47"/>
  <sheetViews>
    <sheetView zoomScale="70" zoomScaleNormal="70" workbookViewId="0">
      <pane ySplit="13" topLeftCell="A31" activePane="bottomLeft" state="frozen"/>
      <selection activeCell="B12" sqref="B12"/>
      <selection pane="bottomLeft" activeCell="B12" sqref="B12"/>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1137</v>
      </c>
      <c r="B1" s="831"/>
      <c r="C1" s="831"/>
      <c r="D1" s="831"/>
      <c r="E1" s="831"/>
      <c r="F1" s="831"/>
      <c r="G1" s="831"/>
      <c r="H1" s="831"/>
      <c r="I1" s="831"/>
      <c r="J1" s="831"/>
      <c r="K1" s="831"/>
      <c r="L1" s="831"/>
      <c r="M1" s="831"/>
      <c r="N1" s="831"/>
      <c r="O1" s="831"/>
      <c r="P1" s="831"/>
      <c r="Q1" s="831"/>
      <c r="R1" s="831"/>
    </row>
    <row r="2" spans="1:18" ht="18" customHeight="1">
      <c r="A2" s="831" t="s">
        <v>1106</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281" t="s">
        <v>1138</v>
      </c>
      <c r="B4" s="1281"/>
      <c r="C4" s="1281"/>
      <c r="D4" s="1281"/>
      <c r="E4" s="1281"/>
      <c r="F4" s="1281"/>
      <c r="G4" s="1281"/>
      <c r="H4" s="1281"/>
      <c r="I4" s="1281"/>
      <c r="J4" s="1281"/>
      <c r="K4" s="1281"/>
      <c r="L4" s="1281"/>
      <c r="M4" s="1281"/>
      <c r="N4" s="1281"/>
      <c r="O4" s="1281"/>
      <c r="P4" s="1281"/>
      <c r="Q4" s="1281"/>
      <c r="R4" s="1281"/>
    </row>
    <row r="5" spans="1:18" ht="15.95" customHeight="1">
      <c r="A5" s="1282" t="s">
        <v>1139</v>
      </c>
      <c r="B5" s="1282"/>
      <c r="C5" s="1282"/>
      <c r="D5" s="1282"/>
      <c r="E5" s="1282"/>
      <c r="F5" s="1282"/>
      <c r="G5" s="1282"/>
      <c r="H5" s="1282"/>
      <c r="I5" s="1282"/>
      <c r="J5" s="1282"/>
      <c r="K5" s="1282"/>
      <c r="L5" s="1282"/>
      <c r="M5" s="1282"/>
      <c r="N5" s="1282"/>
      <c r="O5" s="1282"/>
      <c r="P5" s="1282"/>
      <c r="Q5" s="1282"/>
      <c r="R5" s="1282"/>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271" t="s">
        <v>965</v>
      </c>
      <c r="B7" s="1269"/>
      <c r="C7" s="447"/>
      <c r="D7" s="447"/>
      <c r="E7" s="447"/>
      <c r="F7" s="447"/>
      <c r="G7" s="447"/>
      <c r="H7" s="447"/>
      <c r="I7" s="447"/>
      <c r="J7" s="447"/>
      <c r="K7" s="447"/>
      <c r="L7" s="447"/>
      <c r="M7" s="447"/>
      <c r="N7" s="447"/>
      <c r="O7" s="447"/>
      <c r="P7" s="447"/>
      <c r="Q7" s="447"/>
      <c r="R7" s="834" t="s">
        <v>966</v>
      </c>
    </row>
    <row r="8" spans="1:18" s="487" customFormat="1" ht="14.45" customHeight="1">
      <c r="A8" s="484"/>
      <c r="B8" s="485"/>
      <c r="C8" s="1272" t="s">
        <v>390</v>
      </c>
      <c r="D8" s="1283"/>
      <c r="E8" s="1283"/>
      <c r="F8" s="1273"/>
      <c r="G8" s="1272" t="s">
        <v>1109</v>
      </c>
      <c r="H8" s="1283"/>
      <c r="I8" s="1283"/>
      <c r="J8" s="1273"/>
      <c r="K8" s="1272" t="s">
        <v>1110</v>
      </c>
      <c r="L8" s="1283"/>
      <c r="M8" s="1283"/>
      <c r="N8" s="1273"/>
      <c r="O8" s="1272" t="s">
        <v>1111</v>
      </c>
      <c r="P8" s="1283"/>
      <c r="Q8" s="1283"/>
      <c r="R8" s="1273"/>
    </row>
    <row r="9" spans="1:18" s="487" customFormat="1" ht="14.25" customHeight="1">
      <c r="A9" s="835"/>
      <c r="B9" s="836"/>
      <c r="C9" s="1263" t="s">
        <v>1112</v>
      </c>
      <c r="D9" s="1278"/>
      <c r="E9" s="1278"/>
      <c r="F9" s="1264"/>
      <c r="G9" s="1263" t="s">
        <v>1113</v>
      </c>
      <c r="H9" s="1278"/>
      <c r="I9" s="1278"/>
      <c r="J9" s="1264"/>
      <c r="K9" s="1263" t="s">
        <v>1114</v>
      </c>
      <c r="L9" s="1278"/>
      <c r="M9" s="1278"/>
      <c r="N9" s="1264"/>
      <c r="O9" s="1263" t="s">
        <v>1115</v>
      </c>
      <c r="P9" s="1278" t="s">
        <v>1115</v>
      </c>
      <c r="Q9" s="1278"/>
      <c r="R9" s="1264"/>
    </row>
    <row r="10" spans="1:18" s="487" customFormat="1" ht="51.75" customHeight="1">
      <c r="A10" s="835" t="s">
        <v>383</v>
      </c>
      <c r="B10" s="836"/>
      <c r="C10" s="1279" t="s">
        <v>1116</v>
      </c>
      <c r="D10" s="1280"/>
      <c r="E10" s="1279" t="s">
        <v>1117</v>
      </c>
      <c r="F10" s="1280"/>
      <c r="G10" s="1279" t="s">
        <v>1118</v>
      </c>
      <c r="H10" s="1280"/>
      <c r="I10" s="1279" t="s">
        <v>1119</v>
      </c>
      <c r="J10" s="1280"/>
      <c r="K10" s="1279" t="s">
        <v>1140</v>
      </c>
      <c r="L10" s="1280"/>
      <c r="M10" s="1279" t="s">
        <v>1121</v>
      </c>
      <c r="N10" s="1280"/>
      <c r="O10" s="1279" t="s">
        <v>1122</v>
      </c>
      <c r="P10" s="1280"/>
      <c r="Q10" s="1279" t="s">
        <v>1123</v>
      </c>
      <c r="R10" s="1280"/>
    </row>
    <row r="11" spans="1:18" s="501" customFormat="1" ht="40.5" customHeight="1">
      <c r="A11" s="837" t="s">
        <v>391</v>
      </c>
      <c r="B11" s="838"/>
      <c r="C11" s="1274" t="s">
        <v>1124</v>
      </c>
      <c r="D11" s="1275"/>
      <c r="E11" s="1274" t="s">
        <v>1125</v>
      </c>
      <c r="F11" s="1275"/>
      <c r="G11" s="1274" t="s">
        <v>1126</v>
      </c>
      <c r="H11" s="1275"/>
      <c r="I11" s="1274" t="s">
        <v>1127</v>
      </c>
      <c r="J11" s="1275"/>
      <c r="K11" s="1274" t="s">
        <v>1128</v>
      </c>
      <c r="L11" s="1275"/>
      <c r="M11" s="1274" t="s">
        <v>1129</v>
      </c>
      <c r="N11" s="1275"/>
      <c r="O11" s="1276" t="s">
        <v>1130</v>
      </c>
      <c r="P11" s="1277"/>
      <c r="Q11" s="1276" t="s">
        <v>1131</v>
      </c>
      <c r="R11" s="1277"/>
    </row>
    <row r="12" spans="1:18" s="501" customFormat="1" ht="15.75">
      <c r="A12" s="837"/>
      <c r="B12" s="838"/>
      <c r="C12" s="492" t="s">
        <v>1141</v>
      </c>
      <c r="D12" s="493" t="s">
        <v>1142</v>
      </c>
      <c r="E12" s="492" t="s">
        <v>1141</v>
      </c>
      <c r="F12" s="493" t="s">
        <v>1142</v>
      </c>
      <c r="G12" s="492" t="s">
        <v>1141</v>
      </c>
      <c r="H12" s="493" t="s">
        <v>1142</v>
      </c>
      <c r="I12" s="492" t="s">
        <v>1141</v>
      </c>
      <c r="J12" s="493" t="s">
        <v>1142</v>
      </c>
      <c r="K12" s="492" t="s">
        <v>1141</v>
      </c>
      <c r="L12" s="493" t="s">
        <v>1142</v>
      </c>
      <c r="M12" s="492" t="s">
        <v>1141</v>
      </c>
      <c r="N12" s="493" t="s">
        <v>1142</v>
      </c>
      <c r="O12" s="492" t="s">
        <v>1141</v>
      </c>
      <c r="P12" s="493" t="s">
        <v>1142</v>
      </c>
      <c r="Q12" s="492" t="s">
        <v>1141</v>
      </c>
      <c r="R12" s="493" t="s">
        <v>1142</v>
      </c>
    </row>
    <row r="13" spans="1:18" s="501" customFormat="1" ht="15">
      <c r="A13" s="495"/>
      <c r="B13" s="496"/>
      <c r="C13" s="533" t="s">
        <v>507</v>
      </c>
      <c r="D13" s="534" t="s">
        <v>1143</v>
      </c>
      <c r="E13" s="533" t="s">
        <v>507</v>
      </c>
      <c r="F13" s="534" t="s">
        <v>1143</v>
      </c>
      <c r="G13" s="533" t="s">
        <v>507</v>
      </c>
      <c r="H13" s="534" t="s">
        <v>1143</v>
      </c>
      <c r="I13" s="533" t="s">
        <v>507</v>
      </c>
      <c r="J13" s="534" t="s">
        <v>1143</v>
      </c>
      <c r="K13" s="533" t="s">
        <v>507</v>
      </c>
      <c r="L13" s="534" t="s">
        <v>1143</v>
      </c>
      <c r="M13" s="533" t="s">
        <v>507</v>
      </c>
      <c r="N13" s="534" t="s">
        <v>1143</v>
      </c>
      <c r="O13" s="533" t="s">
        <v>507</v>
      </c>
      <c r="P13" s="534" t="s">
        <v>1143</v>
      </c>
      <c r="Q13" s="533" t="s">
        <v>507</v>
      </c>
      <c r="R13" s="534" t="s">
        <v>1143</v>
      </c>
    </row>
    <row r="14" spans="1:18" s="487" customFormat="1" ht="20.25" customHeight="1">
      <c r="A14" s="840">
        <v>2014</v>
      </c>
      <c r="B14" s="514"/>
      <c r="C14" s="841">
        <v>18.314808789512892</v>
      </c>
      <c r="D14" s="841">
        <v>21.445727988347063</v>
      </c>
      <c r="E14" s="841">
        <v>15.588936123304938</v>
      </c>
      <c r="F14" s="841">
        <v>18.63309058898313</v>
      </c>
      <c r="G14" s="841">
        <v>3.682443858142701</v>
      </c>
      <c r="H14" s="841">
        <v>5.9377237116679984</v>
      </c>
      <c r="I14" s="841">
        <v>55.970852908092375</v>
      </c>
      <c r="J14" s="841">
        <v>72.962193882645948</v>
      </c>
      <c r="K14" s="841">
        <v>1.4956791169081842</v>
      </c>
      <c r="L14" s="841">
        <v>0.88031561280105197</v>
      </c>
      <c r="M14" s="841">
        <v>13.223207230749297</v>
      </c>
      <c r="N14" s="841">
        <v>5.4912925921353164</v>
      </c>
      <c r="O14" s="841">
        <v>25.709560361461325</v>
      </c>
      <c r="P14" s="841">
        <v>21.156259470878087</v>
      </c>
      <c r="Q14" s="841">
        <v>64.79241066299673</v>
      </c>
      <c r="R14" s="841">
        <v>72.379876502924404</v>
      </c>
    </row>
    <row r="15" spans="1:18" s="487" customFormat="1" ht="15.95" customHeight="1">
      <c r="A15" s="840">
        <v>2015</v>
      </c>
      <c r="B15" s="514"/>
      <c r="C15" s="841">
        <v>18.600730625169383</v>
      </c>
      <c r="D15" s="841">
        <v>19.832341893840574</v>
      </c>
      <c r="E15" s="841">
        <v>16.735271421881436</v>
      </c>
      <c r="F15" s="841">
        <v>18.216900006380616</v>
      </c>
      <c r="G15" s="841">
        <v>3.8767955535909802</v>
      </c>
      <c r="H15" s="841">
        <v>5.2026089376128049</v>
      </c>
      <c r="I15" s="841">
        <v>54.279327151034288</v>
      </c>
      <c r="J15" s="841">
        <v>66.987571281917397</v>
      </c>
      <c r="K15" s="841">
        <v>1.4271060079241626</v>
      </c>
      <c r="L15" s="841">
        <v>0.83190298773612792</v>
      </c>
      <c r="M15" s="841">
        <v>13.332618958819719</v>
      </c>
      <c r="N15" s="841">
        <v>4.3221548984051239</v>
      </c>
      <c r="O15" s="841">
        <v>25.546143932287723</v>
      </c>
      <c r="P15" s="841">
        <v>24.201462878733036</v>
      </c>
      <c r="Q15" s="841">
        <v>72.398712145977498</v>
      </c>
      <c r="R15" s="841">
        <v>66.029843309930087</v>
      </c>
    </row>
    <row r="16" spans="1:18" s="487" customFormat="1" ht="15.95" customHeight="1">
      <c r="A16" s="840">
        <v>2016</v>
      </c>
      <c r="B16" s="514"/>
      <c r="C16" s="841">
        <v>20.132937220848717</v>
      </c>
      <c r="D16" s="841">
        <v>19.41763389135777</v>
      </c>
      <c r="E16" s="841">
        <v>18.448911185340449</v>
      </c>
      <c r="F16" s="841">
        <v>18.05515620594743</v>
      </c>
      <c r="G16" s="841">
        <v>5.3442401063207665</v>
      </c>
      <c r="H16" s="841">
        <v>5.6705282198017173</v>
      </c>
      <c r="I16" s="841">
        <v>49.902124060724972</v>
      </c>
      <c r="J16" s="841">
        <v>65.735301348842341</v>
      </c>
      <c r="K16" s="841">
        <v>1.534867873411764</v>
      </c>
      <c r="L16" s="841">
        <v>0.65309785930408182</v>
      </c>
      <c r="M16" s="841">
        <v>13.328455676449014</v>
      </c>
      <c r="N16" s="841">
        <v>3.6546757959464138</v>
      </c>
      <c r="O16" s="841">
        <v>24.111922536187013</v>
      </c>
      <c r="P16" s="841">
        <v>23.233689884262404</v>
      </c>
      <c r="Q16" s="841">
        <v>71.278134542096566</v>
      </c>
      <c r="R16" s="841">
        <v>64.028813855861145</v>
      </c>
    </row>
    <row r="17" spans="1:27" s="487" customFormat="1" ht="15.95" customHeight="1">
      <c r="A17" s="840">
        <v>2017</v>
      </c>
      <c r="B17" s="514"/>
      <c r="C17" s="841">
        <v>20.965353748732102</v>
      </c>
      <c r="D17" s="841">
        <v>19.167046567839776</v>
      </c>
      <c r="E17" s="841">
        <v>19.395197227044527</v>
      </c>
      <c r="F17" s="841">
        <v>18.267932103582609</v>
      </c>
      <c r="G17" s="841">
        <v>5.4504189274211772</v>
      </c>
      <c r="H17" s="841">
        <v>5.3808341955838879</v>
      </c>
      <c r="I17" s="841">
        <v>50.642033148029327</v>
      </c>
      <c r="J17" s="841">
        <v>59.047647890653955</v>
      </c>
      <c r="K17" s="841">
        <v>1.5326388471594066</v>
      </c>
      <c r="L17" s="841">
        <v>0.92254108170727323</v>
      </c>
      <c r="M17" s="841">
        <v>12.956486553317401</v>
      </c>
      <c r="N17" s="841">
        <v>3.7635475030266132</v>
      </c>
      <c r="O17" s="841">
        <v>34.05332975638494</v>
      </c>
      <c r="P17" s="841">
        <v>19.611375856445154</v>
      </c>
      <c r="Q17" s="841">
        <v>71.332263282446732</v>
      </c>
      <c r="R17" s="841">
        <v>66.357627316329271</v>
      </c>
    </row>
    <row r="18" spans="1:27" s="487" customFormat="1" ht="16.5" customHeight="1">
      <c r="A18" s="840">
        <v>2018</v>
      </c>
      <c r="B18" s="847"/>
      <c r="C18" s="841">
        <v>20.85016921915404</v>
      </c>
      <c r="D18" s="841">
        <v>18.080339545476839</v>
      </c>
      <c r="E18" s="841">
        <v>19.367881570224394</v>
      </c>
      <c r="F18" s="841">
        <v>17.256340091937979</v>
      </c>
      <c r="G18" s="841">
        <v>5.5493795016287741</v>
      </c>
      <c r="H18" s="841">
        <v>5.7387919613228675</v>
      </c>
      <c r="I18" s="841">
        <v>63.79183666278746</v>
      </c>
      <c r="J18" s="841">
        <v>67.887756770078482</v>
      </c>
      <c r="K18" s="841">
        <v>1.5195436850237836</v>
      </c>
      <c r="L18" s="841">
        <v>0.66153861010394821</v>
      </c>
      <c r="M18" s="841">
        <v>14.279429920961498</v>
      </c>
      <c r="N18" s="841">
        <v>0.78793657667363981</v>
      </c>
      <c r="O18" s="841">
        <v>32.886618071955347</v>
      </c>
      <c r="P18" s="841">
        <v>23.015286628829053</v>
      </c>
      <c r="Q18" s="841">
        <v>69.553061726235725</v>
      </c>
      <c r="R18" s="841">
        <v>64.206840601979636</v>
      </c>
      <c r="S18" s="845"/>
      <c r="T18" s="846"/>
      <c r="U18" s="846"/>
      <c r="V18" s="846"/>
      <c r="W18" s="846"/>
      <c r="X18" s="846"/>
      <c r="Y18" s="846"/>
      <c r="Z18" s="846"/>
      <c r="AA18" s="846"/>
    </row>
    <row r="19" spans="1:27" s="487" customFormat="1" ht="16.5" customHeight="1">
      <c r="A19" s="840">
        <v>2019</v>
      </c>
      <c r="B19" s="847"/>
      <c r="C19" s="841">
        <v>21.106800361327927</v>
      </c>
      <c r="D19" s="841">
        <v>18.615236441952433</v>
      </c>
      <c r="E19" s="841">
        <v>19.747434204402765</v>
      </c>
      <c r="F19" s="841">
        <v>17.6645439186053</v>
      </c>
      <c r="G19" s="841">
        <v>4.9061360044886229</v>
      </c>
      <c r="H19" s="841">
        <v>4.4836551314032356</v>
      </c>
      <c r="I19" s="841">
        <v>66.121131279879421</v>
      </c>
      <c r="J19" s="841">
        <v>74.3</v>
      </c>
      <c r="K19" s="841">
        <v>1.7689807467050538</v>
      </c>
      <c r="L19" s="841">
        <v>0.85568866663546894</v>
      </c>
      <c r="M19" s="841">
        <v>14.236546284825435</v>
      </c>
      <c r="N19" s="841">
        <v>4.8338947689267737</v>
      </c>
      <c r="O19" s="841">
        <v>36.021025234310287</v>
      </c>
      <c r="P19" s="841">
        <v>21.346856160836168</v>
      </c>
      <c r="Q19" s="841">
        <v>65.79042246074178</v>
      </c>
      <c r="R19" s="841">
        <v>68.545174707376475</v>
      </c>
      <c r="S19" s="845"/>
      <c r="T19" s="846"/>
      <c r="U19" s="846"/>
      <c r="V19" s="846"/>
      <c r="W19" s="846"/>
      <c r="X19" s="846"/>
      <c r="Y19" s="846"/>
      <c r="Z19" s="846"/>
      <c r="AA19" s="846"/>
    </row>
    <row r="20" spans="1:27" s="487" customFormat="1" ht="16.5" customHeight="1">
      <c r="A20" s="840">
        <v>2020</v>
      </c>
      <c r="B20" s="847"/>
      <c r="C20" s="841">
        <v>19.944841476862038</v>
      </c>
      <c r="D20" s="841">
        <v>17.822268805863196</v>
      </c>
      <c r="E20" s="841">
        <v>18.635231270017012</v>
      </c>
      <c r="F20" s="841">
        <v>16.950209769663147</v>
      </c>
      <c r="G20" s="841">
        <v>4.640487787519489</v>
      </c>
      <c r="H20" s="841">
        <v>4.129130247600072</v>
      </c>
      <c r="I20" s="841">
        <v>69.977207855834365</v>
      </c>
      <c r="J20" s="841">
        <v>74.32395514052304</v>
      </c>
      <c r="K20" s="841">
        <v>0.96234168108722795</v>
      </c>
      <c r="L20" s="841">
        <v>0.76268793014908354</v>
      </c>
      <c r="M20" s="841">
        <v>9.4393740907523771</v>
      </c>
      <c r="N20" s="841">
        <v>-5.2696911119942849</v>
      </c>
      <c r="O20" s="841">
        <v>34.023952085848038</v>
      </c>
      <c r="P20" s="841">
        <v>21.615020703262523</v>
      </c>
      <c r="Q20" s="841">
        <v>66.326155961720602</v>
      </c>
      <c r="R20" s="841">
        <v>71.139952628367993</v>
      </c>
      <c r="S20" s="845"/>
      <c r="T20" s="846"/>
      <c r="U20" s="846"/>
      <c r="V20" s="846"/>
      <c r="W20" s="846"/>
      <c r="X20" s="846"/>
      <c r="Y20" s="846"/>
      <c r="Z20" s="846"/>
      <c r="AA20" s="846"/>
    </row>
    <row r="21" spans="1:27" s="487" customFormat="1" ht="16.5" customHeight="1">
      <c r="A21" s="840">
        <v>2021</v>
      </c>
      <c r="B21" s="847"/>
      <c r="C21" s="841">
        <v>20.64688255788618</v>
      </c>
      <c r="D21" s="841">
        <v>17.119563252603452</v>
      </c>
      <c r="E21" s="841">
        <v>19.239195615080202</v>
      </c>
      <c r="F21" s="841">
        <v>15.645384682960376</v>
      </c>
      <c r="G21" s="841">
        <v>3.9211391365104751</v>
      </c>
      <c r="H21" s="841">
        <v>2.8382642645870702</v>
      </c>
      <c r="I21" s="841">
        <v>71.934225884147097</v>
      </c>
      <c r="J21" s="841">
        <v>72.807521469879475</v>
      </c>
      <c r="K21" s="841">
        <v>1.2994018879816043</v>
      </c>
      <c r="L21" s="841">
        <v>1.2561496587052907</v>
      </c>
      <c r="M21" s="841">
        <v>10.852239077058394</v>
      </c>
      <c r="N21" s="841">
        <v>3.5444600816482512</v>
      </c>
      <c r="O21" s="841">
        <v>33.561529013212358</v>
      </c>
      <c r="P21" s="841">
        <v>24.661923225362923</v>
      </c>
      <c r="Q21" s="841">
        <v>69.284049249162607</v>
      </c>
      <c r="R21" s="841">
        <v>68.687775700155967</v>
      </c>
      <c r="S21" s="845"/>
      <c r="T21" s="846"/>
      <c r="U21" s="846"/>
      <c r="V21" s="846"/>
      <c r="W21" s="846"/>
      <c r="X21" s="846"/>
      <c r="Y21" s="846"/>
      <c r="Z21" s="846"/>
      <c r="AA21" s="846"/>
    </row>
    <row r="22" spans="1:27" s="487" customFormat="1" ht="16.5" customHeight="1">
      <c r="A22" s="840">
        <v>2022</v>
      </c>
      <c r="B22" s="847"/>
      <c r="C22" s="841">
        <f t="shared" ref="C22:R22" si="0">C35</f>
        <v>21.537467378089413</v>
      </c>
      <c r="D22" s="841">
        <f t="shared" si="0"/>
        <v>17.541649579766482</v>
      </c>
      <c r="E22" s="1324">
        <f t="shared" si="0"/>
        <v>20.105463735937317</v>
      </c>
      <c r="F22" s="841">
        <f t="shared" si="0"/>
        <v>15.945960975355074</v>
      </c>
      <c r="G22" s="841">
        <f t="shared" si="0"/>
        <v>3.292529863949059</v>
      </c>
      <c r="H22" s="841">
        <f t="shared" si="0"/>
        <v>2.2722997732268113</v>
      </c>
      <c r="I22" s="841">
        <f t="shared" si="0"/>
        <v>74.331487082272346</v>
      </c>
      <c r="J22" s="841">
        <f t="shared" si="0"/>
        <v>67.027549802259045</v>
      </c>
      <c r="K22" s="841">
        <f t="shared" si="0"/>
        <v>1.4388142359538301</v>
      </c>
      <c r="L22" s="841">
        <f t="shared" si="0"/>
        <v>1.1915736565628721</v>
      </c>
      <c r="M22" s="841">
        <f t="shared" si="0"/>
        <v>10.99551932488149</v>
      </c>
      <c r="N22" s="841">
        <f t="shared" si="0"/>
        <v>4.5434629003691125</v>
      </c>
      <c r="O22" s="841">
        <f t="shared" si="0"/>
        <v>32.77941228785749</v>
      </c>
      <c r="P22" s="841">
        <f t="shared" si="0"/>
        <v>22.874417131395848</v>
      </c>
      <c r="Q22" s="841">
        <f t="shared" si="0"/>
        <v>68.773784343453897</v>
      </c>
      <c r="R22" s="841">
        <f t="shared" si="0"/>
        <v>68.251505943002783</v>
      </c>
      <c r="S22" s="845"/>
      <c r="T22" s="846"/>
      <c r="U22" s="846"/>
      <c r="V22" s="846"/>
      <c r="W22" s="846"/>
      <c r="X22" s="846"/>
      <c r="Y22" s="846"/>
      <c r="Z22" s="846"/>
      <c r="AA22" s="846"/>
    </row>
    <row r="23" spans="1:27" s="487" customFormat="1" ht="16.5" customHeight="1">
      <c r="A23" s="843">
        <v>2023</v>
      </c>
      <c r="B23" s="844"/>
      <c r="C23" s="851">
        <f t="shared" ref="C23:R23" si="1">C39</f>
        <v>21.933252701547758</v>
      </c>
      <c r="D23" s="851">
        <f t="shared" si="1"/>
        <v>17.976510129872718</v>
      </c>
      <c r="E23" s="851">
        <f t="shared" si="1"/>
        <v>20.509456999790618</v>
      </c>
      <c r="F23" s="851">
        <f t="shared" si="1"/>
        <v>16.222370288108483</v>
      </c>
      <c r="G23" s="851">
        <f t="shared" si="1"/>
        <v>3.3523321392633116</v>
      </c>
      <c r="H23" s="851">
        <f t="shared" si="1"/>
        <v>2.2171468133700474</v>
      </c>
      <c r="I23" s="851">
        <f t="shared" si="1"/>
        <v>71.04528428892624</v>
      </c>
      <c r="J23" s="851">
        <f t="shared" si="1"/>
        <v>60.682507693667006</v>
      </c>
      <c r="K23" s="851">
        <f t="shared" si="1"/>
        <v>1.6929227193284293</v>
      </c>
      <c r="L23" s="851">
        <f t="shared" si="1"/>
        <v>1.1214976033971031</v>
      </c>
      <c r="M23" s="851">
        <f t="shared" si="1"/>
        <v>12.546466863825762</v>
      </c>
      <c r="N23" s="851">
        <f t="shared" si="1"/>
        <v>5.7559322628724079</v>
      </c>
      <c r="O23" s="851">
        <f t="shared" si="1"/>
        <v>32.679854200461882</v>
      </c>
      <c r="P23" s="851">
        <f t="shared" si="1"/>
        <v>23.551361749371893</v>
      </c>
      <c r="Q23" s="851">
        <f t="shared" si="1"/>
        <v>67.099478145127264</v>
      </c>
      <c r="R23" s="851">
        <f t="shared" si="1"/>
        <v>63.772666803159559</v>
      </c>
      <c r="S23" s="845"/>
      <c r="T23" s="846"/>
      <c r="U23" s="846"/>
      <c r="V23" s="846"/>
      <c r="W23" s="846"/>
      <c r="X23" s="846"/>
      <c r="Y23" s="846"/>
      <c r="Z23" s="846"/>
      <c r="AA23" s="846"/>
    </row>
    <row r="24" spans="1:27" s="846" customFormat="1" ht="21.2" customHeight="1">
      <c r="A24" s="848">
        <v>2020</v>
      </c>
      <c r="B24" s="849" t="s">
        <v>243</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244</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245</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242</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243</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244</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245</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242</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243</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244</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6" t="s">
        <v>245</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6" t="s">
        <v>242</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243</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6" t="s">
        <v>244</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6" t="s">
        <v>245</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6" t="s">
        <v>242</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243</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6" t="s">
        <v>244</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6" t="s">
        <v>1712</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ht="21.2" customHeight="1">
      <c r="A43" s="462" t="s">
        <v>1132</v>
      </c>
      <c r="B43" s="462"/>
      <c r="C43" s="462"/>
      <c r="D43" s="462"/>
      <c r="E43" s="462"/>
      <c r="F43" s="462"/>
      <c r="G43" s="462"/>
      <c r="H43" s="462"/>
      <c r="I43" s="462"/>
      <c r="J43" s="462"/>
      <c r="K43" s="462"/>
      <c r="L43" s="462"/>
      <c r="M43" s="462"/>
      <c r="N43" s="462"/>
      <c r="O43" s="462"/>
      <c r="P43" s="462"/>
      <c r="Q43" s="857"/>
      <c r="R43" s="858" t="s">
        <v>1144</v>
      </c>
    </row>
    <row r="44" spans="1:18" ht="13.7" customHeight="1">
      <c r="A44" s="445" t="s">
        <v>1134</v>
      </c>
      <c r="C44" s="856"/>
      <c r="D44" s="856"/>
      <c r="E44" s="856"/>
      <c r="F44" s="856"/>
      <c r="G44" s="856"/>
      <c r="H44" s="856"/>
      <c r="I44" s="856"/>
      <c r="J44" s="856"/>
      <c r="K44" s="856"/>
      <c r="L44" s="856"/>
      <c r="M44" s="856"/>
      <c r="N44" s="856"/>
      <c r="O44" s="856"/>
      <c r="P44" s="856"/>
      <c r="Q44" s="856"/>
      <c r="R44" s="855" t="s">
        <v>1135</v>
      </c>
    </row>
    <row r="45" spans="1:18" ht="13.7" customHeight="1">
      <c r="C45" s="856"/>
      <c r="D45" s="856"/>
      <c r="E45" s="856"/>
      <c r="F45" s="856"/>
      <c r="G45" s="856"/>
      <c r="H45" s="856"/>
      <c r="I45" s="856"/>
      <c r="J45" s="856"/>
      <c r="K45" s="856"/>
      <c r="L45" s="856"/>
      <c r="M45" s="856"/>
      <c r="N45" s="856"/>
      <c r="O45" s="856"/>
      <c r="P45" s="856"/>
      <c r="Q45" s="856"/>
      <c r="R45" s="855"/>
    </row>
    <row r="46" spans="1:18" ht="14.25">
      <c r="A46" s="1683" t="s">
        <v>1145</v>
      </c>
      <c r="B46" s="444"/>
      <c r="C46" s="444"/>
      <c r="D46" s="444"/>
      <c r="E46" s="444"/>
      <c r="F46" s="444"/>
      <c r="G46" s="444"/>
      <c r="H46" s="444"/>
      <c r="I46" s="444"/>
      <c r="J46" s="444"/>
      <c r="K46" s="444"/>
      <c r="L46" s="444"/>
      <c r="M46" s="444"/>
      <c r="N46" s="444"/>
      <c r="O46" s="444"/>
      <c r="P46" s="444"/>
      <c r="Q46" s="444"/>
      <c r="R46" s="444"/>
    </row>
    <row r="47" spans="1:18" ht="14.25">
      <c r="A47" s="514"/>
      <c r="B47" s="444"/>
      <c r="C47" s="444"/>
      <c r="D47" s="444"/>
      <c r="E47" s="444"/>
      <c r="F47" s="444"/>
      <c r="G47" s="444"/>
      <c r="H47" s="444"/>
      <c r="I47" s="444"/>
      <c r="J47" s="444"/>
      <c r="K47" s="444"/>
      <c r="L47" s="444"/>
      <c r="M47" s="444"/>
      <c r="N47" s="444"/>
      <c r="O47" s="444"/>
      <c r="P47" s="444"/>
      <c r="Q47" s="444"/>
      <c r="R47"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47"/>
  <sheetViews>
    <sheetView zoomScale="80" zoomScaleNormal="80" zoomScaleSheetLayoutView="70" workbookViewId="0">
      <pane ySplit="13" topLeftCell="A35" activePane="bottomLeft" state="frozen"/>
      <selection activeCell="B12" sqref="B12"/>
      <selection pane="bottomLeft" activeCell="B12" sqref="B12"/>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5703125" style="445" customWidth="1"/>
    <col min="17" max="17" width="13.7109375" style="445" customWidth="1"/>
    <col min="18" max="18" width="12.85546875" style="445" customWidth="1"/>
    <col min="19" max="16384" width="9.140625" style="445"/>
  </cols>
  <sheetData>
    <row r="1" spans="1:18" ht="18" customHeight="1">
      <c r="A1" s="831" t="s">
        <v>1146</v>
      </c>
      <c r="B1" s="831"/>
      <c r="C1" s="831"/>
      <c r="D1" s="831"/>
      <c r="E1" s="831"/>
      <c r="F1" s="831"/>
      <c r="G1" s="831"/>
      <c r="H1" s="831"/>
      <c r="I1" s="831"/>
      <c r="J1" s="831"/>
      <c r="K1" s="831"/>
      <c r="L1" s="831"/>
      <c r="M1" s="831"/>
      <c r="N1" s="831"/>
      <c r="O1" s="831"/>
      <c r="P1" s="831"/>
      <c r="Q1" s="831"/>
      <c r="R1" s="831"/>
    </row>
    <row r="2" spans="1:18" ht="18" customHeight="1">
      <c r="A2" s="831" t="s">
        <v>1106</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281" t="s">
        <v>63</v>
      </c>
      <c r="B4" s="1281"/>
      <c r="C4" s="1281"/>
      <c r="D4" s="1281"/>
      <c r="E4" s="1281"/>
      <c r="F4" s="1281"/>
      <c r="G4" s="1281"/>
      <c r="H4" s="1281"/>
      <c r="I4" s="1281"/>
      <c r="J4" s="1281"/>
      <c r="K4" s="1281"/>
      <c r="L4" s="1281"/>
      <c r="M4" s="1281"/>
      <c r="N4" s="1281"/>
      <c r="O4" s="1281"/>
      <c r="P4" s="1281"/>
      <c r="Q4" s="1281"/>
      <c r="R4" s="1281"/>
    </row>
    <row r="5" spans="1:18" ht="15.95" customHeight="1">
      <c r="A5" s="1282" t="s">
        <v>62</v>
      </c>
      <c r="B5" s="1282"/>
      <c r="C5" s="1282"/>
      <c r="D5" s="1282"/>
      <c r="E5" s="1282"/>
      <c r="F5" s="1282"/>
      <c r="G5" s="1282"/>
      <c r="H5" s="1282"/>
      <c r="I5" s="1282"/>
      <c r="J5" s="1282"/>
      <c r="K5" s="1282"/>
      <c r="L5" s="1282"/>
      <c r="M5" s="1282"/>
      <c r="N5" s="1282"/>
      <c r="O5" s="1282"/>
      <c r="P5" s="1282"/>
      <c r="Q5" s="1282"/>
      <c r="R5" s="1282"/>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271" t="s">
        <v>965</v>
      </c>
      <c r="B7" s="1269"/>
      <c r="C7" s="447"/>
      <c r="D7" s="447"/>
      <c r="E7" s="447"/>
      <c r="F7" s="447"/>
      <c r="G7" s="447"/>
      <c r="H7" s="447"/>
      <c r="I7" s="447"/>
      <c r="J7" s="447"/>
      <c r="K7" s="447"/>
      <c r="L7" s="447"/>
      <c r="M7" s="447"/>
      <c r="N7" s="447"/>
      <c r="O7" s="447"/>
      <c r="P7" s="447"/>
      <c r="Q7" s="447"/>
      <c r="R7" s="834" t="s">
        <v>966</v>
      </c>
    </row>
    <row r="8" spans="1:18" s="487" customFormat="1" ht="14.45" customHeight="1">
      <c r="A8" s="484"/>
      <c r="B8" s="485"/>
      <c r="C8" s="1272" t="s">
        <v>390</v>
      </c>
      <c r="D8" s="1283"/>
      <c r="E8" s="1283"/>
      <c r="F8" s="1273"/>
      <c r="G8" s="1272" t="s">
        <v>1109</v>
      </c>
      <c r="H8" s="1283"/>
      <c r="I8" s="1283"/>
      <c r="J8" s="1273"/>
      <c r="K8" s="1272" t="s">
        <v>1110</v>
      </c>
      <c r="L8" s="1283"/>
      <c r="M8" s="1283"/>
      <c r="N8" s="1273"/>
      <c r="O8" s="1272" t="s">
        <v>1111</v>
      </c>
      <c r="P8" s="1283"/>
      <c r="Q8" s="1283"/>
      <c r="R8" s="1273"/>
    </row>
    <row r="9" spans="1:18" s="487" customFormat="1" ht="14.25" customHeight="1">
      <c r="A9" s="835"/>
      <c r="B9" s="836"/>
      <c r="C9" s="1263" t="s">
        <v>1112</v>
      </c>
      <c r="D9" s="1278"/>
      <c r="E9" s="1278"/>
      <c r="F9" s="1264"/>
      <c r="G9" s="1263" t="s">
        <v>1113</v>
      </c>
      <c r="H9" s="1278"/>
      <c r="I9" s="1278"/>
      <c r="J9" s="1264"/>
      <c r="K9" s="1263" t="s">
        <v>1114</v>
      </c>
      <c r="L9" s="1278"/>
      <c r="M9" s="1278"/>
      <c r="N9" s="1264"/>
      <c r="O9" s="1263" t="s">
        <v>1115</v>
      </c>
      <c r="P9" s="1278" t="s">
        <v>1115</v>
      </c>
      <c r="Q9" s="1278"/>
      <c r="R9" s="1264"/>
    </row>
    <row r="10" spans="1:18" s="487" customFormat="1" ht="51" customHeight="1">
      <c r="A10" s="835" t="s">
        <v>383</v>
      </c>
      <c r="B10" s="836"/>
      <c r="C10" s="1279" t="s">
        <v>1116</v>
      </c>
      <c r="D10" s="1280"/>
      <c r="E10" s="1279" t="s">
        <v>1117</v>
      </c>
      <c r="F10" s="1280"/>
      <c r="G10" s="1279" t="s">
        <v>1118</v>
      </c>
      <c r="H10" s="1280"/>
      <c r="I10" s="1279" t="s">
        <v>1119</v>
      </c>
      <c r="J10" s="1280"/>
      <c r="K10" s="1279" t="s">
        <v>1140</v>
      </c>
      <c r="L10" s="1280"/>
      <c r="M10" s="1279" t="s">
        <v>1121</v>
      </c>
      <c r="N10" s="1280"/>
      <c r="O10" s="1279" t="s">
        <v>1122</v>
      </c>
      <c r="P10" s="1280"/>
      <c r="Q10" s="1279" t="s">
        <v>1123</v>
      </c>
      <c r="R10" s="1280"/>
    </row>
    <row r="11" spans="1:18" s="501" customFormat="1" ht="31.5" customHeight="1">
      <c r="A11" s="837" t="s">
        <v>391</v>
      </c>
      <c r="B11" s="838"/>
      <c r="C11" s="1274" t="s">
        <v>1124</v>
      </c>
      <c r="D11" s="1275"/>
      <c r="E11" s="1274" t="s">
        <v>1125</v>
      </c>
      <c r="F11" s="1275"/>
      <c r="G11" s="1274" t="s">
        <v>1126</v>
      </c>
      <c r="H11" s="1275"/>
      <c r="I11" s="1274" t="s">
        <v>1127</v>
      </c>
      <c r="J11" s="1275"/>
      <c r="K11" s="1274" t="s">
        <v>1128</v>
      </c>
      <c r="L11" s="1275"/>
      <c r="M11" s="1274" t="s">
        <v>1129</v>
      </c>
      <c r="N11" s="1275"/>
      <c r="O11" s="1276" t="s">
        <v>1130</v>
      </c>
      <c r="P11" s="1277"/>
      <c r="Q11" s="1276" t="s">
        <v>1131</v>
      </c>
      <c r="R11" s="1277"/>
    </row>
    <row r="12" spans="1:18" s="501" customFormat="1" ht="15.75">
      <c r="A12" s="837"/>
      <c r="B12" s="838"/>
      <c r="C12" s="492" t="s">
        <v>1141</v>
      </c>
      <c r="D12" s="493" t="s">
        <v>1142</v>
      </c>
      <c r="E12" s="492" t="s">
        <v>1141</v>
      </c>
      <c r="F12" s="493" t="s">
        <v>1142</v>
      </c>
      <c r="G12" s="492" t="s">
        <v>1141</v>
      </c>
      <c r="H12" s="493" t="s">
        <v>1142</v>
      </c>
      <c r="I12" s="492" t="s">
        <v>1141</v>
      </c>
      <c r="J12" s="493" t="s">
        <v>1142</v>
      </c>
      <c r="K12" s="492" t="s">
        <v>1141</v>
      </c>
      <c r="L12" s="493" t="s">
        <v>1142</v>
      </c>
      <c r="M12" s="492" t="s">
        <v>1141</v>
      </c>
      <c r="N12" s="493" t="s">
        <v>1142</v>
      </c>
      <c r="O12" s="492" t="s">
        <v>1141</v>
      </c>
      <c r="P12" s="493" t="s">
        <v>1142</v>
      </c>
      <c r="Q12" s="492" t="s">
        <v>1141</v>
      </c>
      <c r="R12" s="493" t="s">
        <v>1142</v>
      </c>
    </row>
    <row r="13" spans="1:18" s="501" customFormat="1" ht="15">
      <c r="A13" s="495"/>
      <c r="B13" s="496"/>
      <c r="C13" s="533" t="s">
        <v>507</v>
      </c>
      <c r="D13" s="534" t="s">
        <v>1143</v>
      </c>
      <c r="E13" s="533" t="s">
        <v>507</v>
      </c>
      <c r="F13" s="534" t="s">
        <v>1143</v>
      </c>
      <c r="G13" s="533" t="s">
        <v>507</v>
      </c>
      <c r="H13" s="534" t="s">
        <v>1143</v>
      </c>
      <c r="I13" s="533" t="s">
        <v>507</v>
      </c>
      <c r="J13" s="534" t="s">
        <v>1143</v>
      </c>
      <c r="K13" s="533" t="s">
        <v>507</v>
      </c>
      <c r="L13" s="534" t="s">
        <v>1143</v>
      </c>
      <c r="M13" s="533" t="s">
        <v>507</v>
      </c>
      <c r="N13" s="534" t="s">
        <v>1143</v>
      </c>
      <c r="O13" s="533" t="s">
        <v>507</v>
      </c>
      <c r="P13" s="534" t="s">
        <v>1143</v>
      </c>
      <c r="Q13" s="533" t="s">
        <v>507</v>
      </c>
      <c r="R13" s="534" t="s">
        <v>1143</v>
      </c>
    </row>
    <row r="14" spans="1:18" s="487" customFormat="1" ht="20.25" customHeight="1">
      <c r="A14" s="840">
        <v>2014</v>
      </c>
      <c r="B14" s="514"/>
      <c r="C14" s="841">
        <v>16.90911805053225</v>
      </c>
      <c r="D14" s="841">
        <v>23.957469906856282</v>
      </c>
      <c r="E14" s="841">
        <v>14.566289804373156</v>
      </c>
      <c r="F14" s="841">
        <v>22.933939511535762</v>
      </c>
      <c r="G14" s="841">
        <v>12.526106188652911</v>
      </c>
      <c r="H14" s="841">
        <v>4.6021220732897588</v>
      </c>
      <c r="I14" s="841">
        <v>39.172041508547181</v>
      </c>
      <c r="J14" s="841">
        <v>75.324314841506322</v>
      </c>
      <c r="K14" s="841">
        <v>0.45708580274439869</v>
      </c>
      <c r="L14" s="841">
        <v>0.47735312216613163</v>
      </c>
      <c r="M14" s="841">
        <v>4.6897803284536854</v>
      </c>
      <c r="N14" s="841">
        <v>3.2260962536527389</v>
      </c>
      <c r="O14" s="841">
        <v>13.330559547715964</v>
      </c>
      <c r="P14" s="841">
        <v>22.17619354053441</v>
      </c>
      <c r="Q14" s="841">
        <v>79.862339808354946</v>
      </c>
      <c r="R14" s="841">
        <v>65.572940396564348</v>
      </c>
    </row>
    <row r="15" spans="1:18" s="487" customFormat="1" ht="15.95" customHeight="1">
      <c r="A15" s="840">
        <v>2015</v>
      </c>
      <c r="B15" s="514"/>
      <c r="C15" s="841">
        <v>15.866674999204399</v>
      </c>
      <c r="D15" s="841">
        <v>20.653148923608512</v>
      </c>
      <c r="E15" s="841">
        <v>13.688763867893289</v>
      </c>
      <c r="F15" s="841">
        <v>20.124081212441915</v>
      </c>
      <c r="G15" s="841">
        <v>11.998646386462864</v>
      </c>
      <c r="H15" s="841">
        <v>4.6153306132940806</v>
      </c>
      <c r="I15" s="841">
        <v>39.571990435885354</v>
      </c>
      <c r="J15" s="841">
        <v>81.197252147161763</v>
      </c>
      <c r="K15" s="841">
        <v>0.18822912640583137</v>
      </c>
      <c r="L15" s="841">
        <v>-0.50760509587381952</v>
      </c>
      <c r="M15" s="841">
        <v>1.4393591464685849</v>
      </c>
      <c r="N15" s="841">
        <v>-3.3881915176292567</v>
      </c>
      <c r="O15" s="841">
        <v>9.9088814254713213</v>
      </c>
      <c r="P15" s="841">
        <v>20.794402618314141</v>
      </c>
      <c r="Q15" s="841">
        <v>77.996852868137296</v>
      </c>
      <c r="R15" s="841">
        <v>61.764121864178712</v>
      </c>
    </row>
    <row r="16" spans="1:18" s="487" customFormat="1" ht="15.95" customHeight="1">
      <c r="A16" s="840">
        <v>2016</v>
      </c>
      <c r="B16" s="514"/>
      <c r="C16" s="841">
        <v>17.235010613901544</v>
      </c>
      <c r="D16" s="841">
        <v>19.195597694432092</v>
      </c>
      <c r="E16" s="841">
        <v>15.200791663737846</v>
      </c>
      <c r="F16" s="841">
        <v>18.573701670315472</v>
      </c>
      <c r="G16" s="841">
        <v>11.421567325948594</v>
      </c>
      <c r="H16" s="841">
        <v>3.6854713826939078</v>
      </c>
      <c r="I16" s="841">
        <v>40.088893374435472</v>
      </c>
      <c r="J16" s="841">
        <v>81.42067251375633</v>
      </c>
      <c r="K16" s="841">
        <v>0.39021737603055284</v>
      </c>
      <c r="L16" s="841">
        <v>1.0753047579929509</v>
      </c>
      <c r="M16" s="841">
        <v>3.2030190190818222</v>
      </c>
      <c r="N16" s="841">
        <v>7.2424147601870752</v>
      </c>
      <c r="O16" s="841">
        <v>13.63983692123395</v>
      </c>
      <c r="P16" s="841">
        <v>17.702170846722652</v>
      </c>
      <c r="Q16" s="841">
        <v>78.655391286876878</v>
      </c>
      <c r="R16" s="841">
        <v>59.486552984480824</v>
      </c>
    </row>
    <row r="17" spans="1:27" s="487" customFormat="1" ht="15.95" customHeight="1">
      <c r="A17" s="840">
        <v>2017</v>
      </c>
      <c r="B17" s="514"/>
      <c r="C17" s="841">
        <v>18.597231289337422</v>
      </c>
      <c r="D17" s="841">
        <v>18.256519584134733</v>
      </c>
      <c r="E17" s="841">
        <v>15.489628314855583</v>
      </c>
      <c r="F17" s="841">
        <v>17.665646107729323</v>
      </c>
      <c r="G17" s="841">
        <v>10.001790659536855</v>
      </c>
      <c r="H17" s="841">
        <v>2.5504962755369753</v>
      </c>
      <c r="I17" s="841">
        <v>35.892064303069681</v>
      </c>
      <c r="J17" s="841">
        <v>86.467674417408233</v>
      </c>
      <c r="K17" s="841">
        <v>0.60140260754106067</v>
      </c>
      <c r="L17" s="841">
        <v>0.9041736033411083</v>
      </c>
      <c r="M17" s="841">
        <v>6.1433541797606832</v>
      </c>
      <c r="N17" s="841">
        <v>6.2411490755842713</v>
      </c>
      <c r="O17" s="841">
        <v>11.984584750580849</v>
      </c>
      <c r="P17" s="841">
        <v>22.386654156278023</v>
      </c>
      <c r="Q17" s="841">
        <v>89.757001255076247</v>
      </c>
      <c r="R17" s="841">
        <v>60.439351421679909</v>
      </c>
    </row>
    <row r="18" spans="1:27" s="487" customFormat="1" ht="16.5" customHeight="1">
      <c r="A18" s="840">
        <v>2018</v>
      </c>
      <c r="B18" s="847"/>
      <c r="C18" s="841">
        <v>17.820521748592487</v>
      </c>
      <c r="D18" s="841">
        <v>17.912539877450765</v>
      </c>
      <c r="E18" s="841">
        <v>14.894230734552643</v>
      </c>
      <c r="F18" s="841">
        <v>16.875409007939091</v>
      </c>
      <c r="G18" s="841">
        <v>9.4648173983528459</v>
      </c>
      <c r="H18" s="841">
        <v>1.3227958000890094</v>
      </c>
      <c r="I18" s="841">
        <v>39.393036203526087</v>
      </c>
      <c r="J18" s="841">
        <v>79.569502273446403</v>
      </c>
      <c r="K18" s="841">
        <v>0.58109528168399305</v>
      </c>
      <c r="L18" s="841">
        <v>0.93238599218401996</v>
      </c>
      <c r="M18" s="841">
        <v>6.6578710751986501</v>
      </c>
      <c r="N18" s="841">
        <v>6.8950305444323128</v>
      </c>
      <c r="O18" s="841">
        <v>14.056915885673401</v>
      </c>
      <c r="P18" s="841">
        <v>12.639113874506464</v>
      </c>
      <c r="Q18" s="841">
        <v>94.753776689689857</v>
      </c>
      <c r="R18" s="841">
        <v>75.077777735309525</v>
      </c>
      <c r="S18" s="845"/>
      <c r="T18" s="846"/>
      <c r="U18" s="846"/>
      <c r="V18" s="846"/>
      <c r="W18" s="846"/>
      <c r="X18" s="846"/>
      <c r="Y18" s="846"/>
      <c r="Z18" s="846"/>
      <c r="AA18" s="846"/>
    </row>
    <row r="19" spans="1:27" s="487" customFormat="1" ht="16.5" customHeight="1">
      <c r="A19" s="840">
        <v>2019</v>
      </c>
      <c r="B19" s="847"/>
      <c r="C19" s="841">
        <v>18.340711061670319</v>
      </c>
      <c r="D19" s="841">
        <v>18.241260544476891</v>
      </c>
      <c r="E19" s="841">
        <v>15.697184529076132</v>
      </c>
      <c r="F19" s="841">
        <v>17.057813825756334</v>
      </c>
      <c r="G19" s="841">
        <v>10.370949634544392</v>
      </c>
      <c r="H19" s="841">
        <v>1.088783107661631</v>
      </c>
      <c r="I19" s="841">
        <v>36.707832703131707</v>
      </c>
      <c r="J19" s="841">
        <v>93.816035393565073</v>
      </c>
      <c r="K19" s="841">
        <v>0.40894190584099016</v>
      </c>
      <c r="L19" s="841">
        <v>0.71816166462051856</v>
      </c>
      <c r="M19" s="841">
        <v>4.727663523231489</v>
      </c>
      <c r="N19" s="841">
        <v>6.3630287865944881</v>
      </c>
      <c r="O19" s="841">
        <v>17.538120373357387</v>
      </c>
      <c r="P19" s="841">
        <v>17.906429891400368</v>
      </c>
      <c r="Q19" s="841">
        <v>68.583320088437233</v>
      </c>
      <c r="R19" s="841">
        <v>66.508123690860927</v>
      </c>
      <c r="S19" s="845"/>
      <c r="T19" s="846"/>
      <c r="U19" s="846"/>
      <c r="V19" s="846"/>
      <c r="W19" s="846"/>
      <c r="X19" s="846"/>
      <c r="Y19" s="846"/>
      <c r="Z19" s="846"/>
      <c r="AA19" s="846"/>
    </row>
    <row r="20" spans="1:27" s="487" customFormat="1" ht="16.5" customHeight="1">
      <c r="A20" s="840">
        <v>2020</v>
      </c>
      <c r="B20" s="847"/>
      <c r="C20" s="841">
        <v>20.277029178404224</v>
      </c>
      <c r="D20" s="841">
        <v>16.442431637949369</v>
      </c>
      <c r="E20" s="841">
        <v>17.905600095545804</v>
      </c>
      <c r="F20" s="841">
        <v>14.995063273494255</v>
      </c>
      <c r="G20" s="841">
        <v>6.5237763766196473</v>
      </c>
      <c r="H20" s="841">
        <v>1.5887339029211744</v>
      </c>
      <c r="I20" s="841">
        <v>42.862850198424226</v>
      </c>
      <c r="J20" s="841">
        <v>87.633001068496782</v>
      </c>
      <c r="K20" s="841">
        <v>0.18761111530486138</v>
      </c>
      <c r="L20" s="841">
        <v>0.29496733733199393</v>
      </c>
      <c r="M20" s="841">
        <v>2.1365809718669677</v>
      </c>
      <c r="N20" s="841">
        <v>3.1131464350149702</v>
      </c>
      <c r="O20" s="841">
        <v>17.807608970237069</v>
      </c>
      <c r="P20" s="841">
        <v>14.595868815949952</v>
      </c>
      <c r="Q20" s="841">
        <v>67.041587948333444</v>
      </c>
      <c r="R20" s="841">
        <v>59.299880688588068</v>
      </c>
      <c r="S20" s="845"/>
      <c r="T20" s="846"/>
      <c r="U20" s="846"/>
      <c r="V20" s="846"/>
      <c r="W20" s="846"/>
      <c r="X20" s="846"/>
      <c r="Y20" s="846"/>
      <c r="Z20" s="846"/>
      <c r="AA20" s="846"/>
    </row>
    <row r="21" spans="1:27" s="487" customFormat="1" ht="16.5" customHeight="1">
      <c r="A21" s="840">
        <v>2021</v>
      </c>
      <c r="B21" s="847"/>
      <c r="C21" s="841">
        <v>21.738638233407805</v>
      </c>
      <c r="D21" s="841">
        <v>15.786312819327787</v>
      </c>
      <c r="E21" s="841">
        <v>19.934081000208469</v>
      </c>
      <c r="F21" s="841">
        <v>14.436404508225973</v>
      </c>
      <c r="G21" s="841">
        <v>5.0492545987225697</v>
      </c>
      <c r="H21" s="841">
        <v>0.70145334119164737</v>
      </c>
      <c r="I21" s="841">
        <v>56.436486221906158</v>
      </c>
      <c r="J21" s="841">
        <v>91.952521887944656</v>
      </c>
      <c r="K21" s="841">
        <v>0.61178484989441873</v>
      </c>
      <c r="L21" s="841">
        <v>0.82133737162927156</v>
      </c>
      <c r="M21" s="841">
        <v>7.3183452808895382</v>
      </c>
      <c r="N21" s="841">
        <v>9.9919341223515232</v>
      </c>
      <c r="O21" s="841">
        <v>19.459308228380714</v>
      </c>
      <c r="P21" s="841">
        <v>17.986290751259389</v>
      </c>
      <c r="Q21" s="841">
        <v>64.270420008560237</v>
      </c>
      <c r="R21" s="841">
        <v>59.370045630243375</v>
      </c>
      <c r="S21" s="845"/>
      <c r="T21" s="846"/>
      <c r="U21" s="846"/>
      <c r="V21" s="846"/>
      <c r="W21" s="846"/>
      <c r="X21" s="846"/>
      <c r="Y21" s="846"/>
      <c r="Z21" s="846"/>
      <c r="AA21" s="846"/>
    </row>
    <row r="22" spans="1:27" s="487" customFormat="1" ht="16.5" customHeight="1">
      <c r="A22" s="840">
        <v>2022</v>
      </c>
      <c r="B22" s="847"/>
      <c r="C22" s="841">
        <f t="shared" ref="C22:R22" si="0">C35</f>
        <v>21.204814675250162</v>
      </c>
      <c r="D22" s="841">
        <f t="shared" si="0"/>
        <v>16.905150123165441</v>
      </c>
      <c r="E22" s="1324">
        <f t="shared" si="0"/>
        <v>19.70261638468326</v>
      </c>
      <c r="F22" s="841">
        <f t="shared" si="0"/>
        <v>16.180489072230692</v>
      </c>
      <c r="G22" s="841">
        <f t="shared" si="0"/>
        <v>4.8093161737589858</v>
      </c>
      <c r="H22" s="841">
        <f t="shared" si="0"/>
        <v>4.7559375447699637</v>
      </c>
      <c r="I22" s="841">
        <f t="shared" si="0"/>
        <v>54.768042702269028</v>
      </c>
      <c r="J22" s="841">
        <f t="shared" si="0"/>
        <v>94.902974678441836</v>
      </c>
      <c r="K22" s="841">
        <f t="shared" si="0"/>
        <v>0.87595227018522537</v>
      </c>
      <c r="L22" s="841">
        <f t="shared" si="0"/>
        <v>1.100102681681584</v>
      </c>
      <c r="M22" s="841">
        <f t="shared" si="0"/>
        <v>10.617069117244164</v>
      </c>
      <c r="N22" s="841">
        <f t="shared" si="0"/>
        <v>10.270111723584328</v>
      </c>
      <c r="O22" s="841">
        <f t="shared" si="0"/>
        <v>17.002769647396214</v>
      </c>
      <c r="P22" s="841">
        <f t="shared" si="0"/>
        <v>13.787628081342373</v>
      </c>
      <c r="Q22" s="841">
        <f t="shared" si="0"/>
        <v>62.14686370019303</v>
      </c>
      <c r="R22" s="841">
        <f t="shared" si="0"/>
        <v>24.958679427474355</v>
      </c>
      <c r="S22" s="845"/>
      <c r="T22" s="846"/>
      <c r="U22" s="846"/>
      <c r="V22" s="846"/>
      <c r="W22" s="846"/>
      <c r="X22" s="846"/>
      <c r="Y22" s="846"/>
      <c r="Z22" s="846"/>
      <c r="AA22" s="846"/>
    </row>
    <row r="23" spans="1:27" s="487" customFormat="1" ht="16.5" customHeight="1">
      <c r="A23" s="843">
        <v>2023</v>
      </c>
      <c r="B23" s="844"/>
      <c r="C23" s="851">
        <f t="shared" ref="C23:R23" si="1">C39</f>
        <v>19.96305153756693</v>
      </c>
      <c r="D23" s="851">
        <f t="shared" si="1"/>
        <v>17.378854683113332</v>
      </c>
      <c r="E23" s="851">
        <f t="shared" si="1"/>
        <v>18.245928283180287</v>
      </c>
      <c r="F23" s="851">
        <f t="shared" si="1"/>
        <v>16.531807790188662</v>
      </c>
      <c r="G23" s="851">
        <f t="shared" si="1"/>
        <v>4.9295077007297978</v>
      </c>
      <c r="H23" s="851">
        <f t="shared" si="1"/>
        <v>0.99112401615405099</v>
      </c>
      <c r="I23" s="851">
        <f t="shared" si="1"/>
        <v>40.510930108623803</v>
      </c>
      <c r="J23" s="851">
        <f t="shared" si="1"/>
        <v>87.51046908990962</v>
      </c>
      <c r="K23" s="851">
        <f t="shared" si="1"/>
        <v>0.60608117266301587</v>
      </c>
      <c r="L23" s="851">
        <f t="shared" si="1"/>
        <v>1.2840845161266219</v>
      </c>
      <c r="M23" s="851">
        <f t="shared" si="1"/>
        <v>8.1738970833670184</v>
      </c>
      <c r="N23" s="851">
        <f t="shared" si="1"/>
        <v>9.9930881596790204</v>
      </c>
      <c r="O23" s="851">
        <f t="shared" si="1"/>
        <v>17.733423357233622</v>
      </c>
      <c r="P23" s="851">
        <f t="shared" si="1"/>
        <v>19.927673120983716</v>
      </c>
      <c r="Q23" s="851">
        <f t="shared" si="1"/>
        <v>61.43289413689056</v>
      </c>
      <c r="R23" s="851">
        <f t="shared" si="1"/>
        <v>30.403678580265925</v>
      </c>
      <c r="S23" s="845"/>
      <c r="T23" s="846"/>
      <c r="U23" s="846"/>
      <c r="V23" s="846"/>
      <c r="W23" s="846"/>
      <c r="X23" s="846"/>
      <c r="Y23" s="846"/>
      <c r="Z23" s="846"/>
      <c r="AA23" s="846"/>
    </row>
    <row r="24" spans="1:27" s="846" customFormat="1" ht="21.2" customHeight="1">
      <c r="A24" s="848">
        <v>2020</v>
      </c>
      <c r="B24" s="849" t="s">
        <v>243</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244</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245</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242</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243</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244</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245</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242</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243</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244</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6" t="s">
        <v>245</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6" t="s">
        <v>242</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243</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6" t="s">
        <v>244</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6" t="s">
        <v>245</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6" t="s">
        <v>242</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243</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6" t="s">
        <v>244</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6" t="s">
        <v>1712</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ht="21.2" customHeight="1">
      <c r="A43" s="462" t="s">
        <v>1132</v>
      </c>
      <c r="B43" s="462"/>
      <c r="C43" s="462"/>
      <c r="D43" s="462"/>
      <c r="E43" s="462"/>
      <c r="F43" s="462"/>
      <c r="G43" s="462"/>
      <c r="H43" s="462"/>
      <c r="I43" s="462"/>
      <c r="J43" s="462"/>
      <c r="K43" s="462"/>
      <c r="L43" s="462"/>
      <c r="M43" s="462"/>
      <c r="N43" s="462"/>
      <c r="O43" s="462"/>
      <c r="P43" s="462"/>
      <c r="Q43" s="850"/>
      <c r="R43" s="858" t="s">
        <v>1133</v>
      </c>
    </row>
    <row r="44" spans="1:18" ht="13.7" customHeight="1">
      <c r="A44" s="445" t="s">
        <v>1134</v>
      </c>
      <c r="C44" s="856"/>
      <c r="D44" s="856"/>
      <c r="E44" s="856"/>
      <c r="F44" s="856"/>
      <c r="G44" s="856"/>
      <c r="H44" s="856"/>
      <c r="I44" s="856"/>
      <c r="J44" s="856"/>
      <c r="K44" s="856"/>
      <c r="L44" s="856"/>
      <c r="M44" s="856"/>
      <c r="N44" s="856"/>
      <c r="O44" s="856"/>
      <c r="P44" s="856"/>
      <c r="Q44" s="856"/>
      <c r="R44" s="855" t="s">
        <v>1135</v>
      </c>
    </row>
    <row r="45" spans="1:18" ht="13.7" customHeight="1">
      <c r="C45" s="856"/>
      <c r="D45" s="856"/>
      <c r="E45" s="856"/>
      <c r="F45" s="856"/>
      <c r="G45" s="856"/>
      <c r="H45" s="856"/>
      <c r="I45" s="856"/>
      <c r="J45" s="856"/>
      <c r="K45" s="856"/>
      <c r="L45" s="856"/>
      <c r="M45" s="856"/>
      <c r="N45" s="856"/>
      <c r="O45" s="856"/>
      <c r="P45" s="856"/>
      <c r="Q45" s="856"/>
      <c r="R45" s="855"/>
    </row>
    <row r="46" spans="1:18" ht="14.25">
      <c r="A46" s="1683" t="s">
        <v>1147</v>
      </c>
      <c r="B46" s="444"/>
      <c r="C46" s="444"/>
      <c r="D46" s="444"/>
      <c r="E46" s="444"/>
      <c r="F46" s="444"/>
      <c r="G46" s="444"/>
      <c r="H46" s="444"/>
      <c r="I46" s="444"/>
      <c r="J46" s="444"/>
      <c r="K46" s="444"/>
      <c r="L46" s="444"/>
      <c r="M46" s="444"/>
      <c r="N46" s="444"/>
      <c r="O46" s="444"/>
      <c r="P46" s="444"/>
      <c r="Q46" s="444"/>
      <c r="R46" s="444"/>
    </row>
    <row r="47" spans="1:18" ht="14.25">
      <c r="A47" s="514"/>
      <c r="B47" s="444"/>
      <c r="C47" s="444"/>
      <c r="D47" s="444"/>
      <c r="E47" s="444"/>
      <c r="F47" s="444"/>
      <c r="G47" s="444"/>
      <c r="H47" s="444"/>
      <c r="I47" s="444"/>
      <c r="J47" s="444"/>
      <c r="K47" s="444"/>
      <c r="L47" s="444"/>
      <c r="M47" s="444"/>
      <c r="N47" s="444"/>
      <c r="O47" s="444"/>
      <c r="P47" s="444"/>
      <c r="Q47" s="444"/>
      <c r="R47"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3"/>
  <sheetViews>
    <sheetView zoomScale="78" zoomScaleNormal="78" workbookViewId="0">
      <pane ySplit="10" topLeftCell="A37" activePane="bottomLeft" state="frozen"/>
      <selection activeCell="B12" sqref="B12"/>
      <selection pane="bottomLeft" activeCell="B12" sqref="B12"/>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5703125" style="705" customWidth="1"/>
    <col min="15" max="15" width="14.7109375" style="705" customWidth="1"/>
    <col min="16" max="16384" width="9.140625" style="705"/>
  </cols>
  <sheetData>
    <row r="1" spans="1:17" s="1663" customFormat="1" ht="18" customHeight="1">
      <c r="A1" s="1661" t="s">
        <v>1148</v>
      </c>
      <c r="B1" s="1662"/>
      <c r="C1" s="1662"/>
      <c r="D1" s="1662"/>
      <c r="E1" s="1662"/>
      <c r="F1" s="1662"/>
      <c r="G1" s="1662"/>
      <c r="H1" s="1662"/>
      <c r="I1" s="1662"/>
      <c r="J1" s="1662"/>
      <c r="K1" s="1662"/>
      <c r="L1" s="1662"/>
      <c r="M1" s="1662"/>
      <c r="N1" s="1662"/>
      <c r="O1" s="1662"/>
    </row>
    <row r="2" spans="1:17" s="1663" customFormat="1" ht="18" customHeight="1">
      <c r="A2" s="1664" t="s">
        <v>74</v>
      </c>
      <c r="B2" s="1664"/>
      <c r="C2" s="1664"/>
      <c r="D2" s="1664"/>
      <c r="E2" s="1664"/>
      <c r="F2" s="1664"/>
      <c r="G2" s="1664"/>
      <c r="H2" s="1664"/>
      <c r="I2" s="1664"/>
      <c r="J2" s="1664"/>
      <c r="K2" s="1664"/>
      <c r="L2" s="1664"/>
      <c r="M2" s="1664"/>
      <c r="N2" s="1664"/>
      <c r="O2" s="1664"/>
    </row>
    <row r="3" spans="1:17" s="1663" customFormat="1" ht="18" customHeight="1">
      <c r="A3" s="1664" t="s">
        <v>73</v>
      </c>
      <c r="B3" s="1664"/>
      <c r="C3" s="1664"/>
      <c r="D3" s="1664"/>
      <c r="E3" s="1664"/>
      <c r="F3" s="1664"/>
      <c r="G3" s="1664"/>
      <c r="H3" s="1664"/>
      <c r="I3" s="1664"/>
      <c r="J3" s="1664"/>
      <c r="K3" s="1664"/>
      <c r="L3" s="1664"/>
      <c r="M3" s="1664"/>
      <c r="N3" s="1664"/>
      <c r="O3" s="1664"/>
    </row>
    <row r="4" spans="1:17">
      <c r="A4" s="705" t="s">
        <v>1149</v>
      </c>
      <c r="O4" s="705" t="s">
        <v>1150</v>
      </c>
    </row>
    <row r="5" spans="1:17" s="712" customFormat="1" ht="18.600000000000001" customHeight="1">
      <c r="A5" s="1286" t="s">
        <v>1151</v>
      </c>
      <c r="B5" s="1287"/>
      <c r="C5" s="706" t="s">
        <v>1152</v>
      </c>
      <c r="D5" s="707"/>
      <c r="E5" s="707"/>
      <c r="F5" s="707"/>
      <c r="G5" s="707"/>
      <c r="H5" s="708"/>
      <c r="I5" s="706" t="s">
        <v>1153</v>
      </c>
      <c r="J5" s="707"/>
      <c r="K5" s="707"/>
      <c r="L5" s="707"/>
      <c r="M5" s="709"/>
      <c r="N5" s="710" t="s">
        <v>1154</v>
      </c>
      <c r="O5" s="711" t="s">
        <v>1155</v>
      </c>
    </row>
    <row r="6" spans="1:17" s="712" customFormat="1" ht="16.5">
      <c r="A6" s="1288"/>
      <c r="B6" s="1289"/>
      <c r="C6" s="713" t="s">
        <v>1156</v>
      </c>
      <c r="D6" s="714"/>
      <c r="E6" s="714"/>
      <c r="F6" s="714"/>
      <c r="G6" s="714"/>
      <c r="H6" s="714"/>
      <c r="I6" s="715" t="s">
        <v>1157</v>
      </c>
      <c r="J6" s="714"/>
      <c r="K6" s="714"/>
      <c r="L6" s="714"/>
      <c r="M6" s="716"/>
      <c r="N6" s="717" t="s">
        <v>1158</v>
      </c>
      <c r="O6" s="718" t="s">
        <v>1159</v>
      </c>
    </row>
    <row r="7" spans="1:17" s="712" customFormat="1" ht="18" customHeight="1">
      <c r="A7" s="1288"/>
      <c r="B7" s="1289"/>
      <c r="C7" s="719" t="s">
        <v>1160</v>
      </c>
      <c r="D7" s="720"/>
      <c r="E7" s="721" t="s">
        <v>1161</v>
      </c>
      <c r="F7" s="720"/>
      <c r="G7" s="709"/>
      <c r="H7" s="1290" t="s">
        <v>1162</v>
      </c>
      <c r="I7" s="1290" t="s">
        <v>1160</v>
      </c>
      <c r="J7" s="721" t="s">
        <v>1161</v>
      </c>
      <c r="K7" s="720"/>
      <c r="L7" s="709"/>
      <c r="M7" s="1290" t="s">
        <v>1162</v>
      </c>
      <c r="N7" s="1290" t="s">
        <v>1160</v>
      </c>
      <c r="O7" s="1290" t="s">
        <v>1062</v>
      </c>
    </row>
    <row r="8" spans="1:17" s="712" customFormat="1" ht="16.5">
      <c r="A8" s="1288"/>
      <c r="B8" s="1289"/>
      <c r="C8" s="722" t="s">
        <v>1163</v>
      </c>
      <c r="D8" s="723"/>
      <c r="E8" s="722" t="s">
        <v>1164</v>
      </c>
      <c r="F8" s="723"/>
      <c r="G8" s="724"/>
      <c r="H8" s="1284"/>
      <c r="I8" s="1284"/>
      <c r="J8" s="722" t="s">
        <v>1164</v>
      </c>
      <c r="K8" s="723"/>
      <c r="L8" s="724"/>
      <c r="M8" s="1284"/>
      <c r="N8" s="1284"/>
      <c r="O8" s="1284"/>
    </row>
    <row r="9" spans="1:17" s="712" customFormat="1" ht="66">
      <c r="A9" s="1665" t="s">
        <v>391</v>
      </c>
      <c r="B9" s="1666"/>
      <c r="C9" s="725" t="s">
        <v>386</v>
      </c>
      <c r="D9" s="726" t="s">
        <v>1165</v>
      </c>
      <c r="E9" s="727" t="s">
        <v>1067</v>
      </c>
      <c r="F9" s="727" t="s">
        <v>1068</v>
      </c>
      <c r="G9" s="727" t="s">
        <v>386</v>
      </c>
      <c r="H9" s="1284" t="s">
        <v>1166</v>
      </c>
      <c r="I9" s="1284" t="s">
        <v>1167</v>
      </c>
      <c r="J9" s="727" t="s">
        <v>1067</v>
      </c>
      <c r="K9" s="727" t="s">
        <v>1068</v>
      </c>
      <c r="L9" s="727" t="s">
        <v>386</v>
      </c>
      <c r="M9" s="1284" t="s">
        <v>1168</v>
      </c>
      <c r="N9" s="1284" t="s">
        <v>1169</v>
      </c>
      <c r="O9" s="1284" t="s">
        <v>1170</v>
      </c>
    </row>
    <row r="10" spans="1:17" s="712" customFormat="1" ht="49.5">
      <c r="A10" s="1667"/>
      <c r="B10" s="1668"/>
      <c r="C10" s="728" t="s">
        <v>1171</v>
      </c>
      <c r="D10" s="886" t="s">
        <v>1172</v>
      </c>
      <c r="E10" s="729" t="s">
        <v>1069</v>
      </c>
      <c r="F10" s="730" t="s">
        <v>1070</v>
      </c>
      <c r="G10" s="730" t="s">
        <v>1173</v>
      </c>
      <c r="H10" s="1285"/>
      <c r="I10" s="1285"/>
      <c r="J10" s="729" t="s">
        <v>1069</v>
      </c>
      <c r="K10" s="730" t="s">
        <v>1070</v>
      </c>
      <c r="L10" s="730" t="s">
        <v>1174</v>
      </c>
      <c r="M10" s="1285"/>
      <c r="N10" s="1285"/>
      <c r="O10" s="1285"/>
      <c r="P10" s="731"/>
      <c r="Q10" s="731"/>
    </row>
    <row r="11" spans="1:17" s="1672" customFormat="1" ht="20.25" customHeight="1">
      <c r="A11" s="1669">
        <v>2017</v>
      </c>
      <c r="B11" s="1670" t="s">
        <v>243</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671"/>
      <c r="Q11" s="1671"/>
    </row>
    <row r="12" spans="1:17" s="1681" customFormat="1" ht="14.25" customHeight="1">
      <c r="A12" s="1673"/>
      <c r="B12" s="1674" t="s">
        <v>244</v>
      </c>
      <c r="C12" s="1675">
        <v>289.25799999999998</v>
      </c>
      <c r="D12" s="1675">
        <v>57.895000000000003</v>
      </c>
      <c r="E12" s="1675">
        <v>3781.3429999999998</v>
      </c>
      <c r="F12" s="1675">
        <v>959.23400000000004</v>
      </c>
      <c r="G12" s="1675">
        <v>4740.5780000000004</v>
      </c>
      <c r="H12" s="1676">
        <v>5029.8360000000002</v>
      </c>
      <c r="I12" s="1677">
        <v>35.08</v>
      </c>
      <c r="J12" s="1675">
        <v>1809.6420000000001</v>
      </c>
      <c r="K12" s="1675">
        <v>694.65800000000002</v>
      </c>
      <c r="L12" s="1675">
        <v>2504.3000000000002</v>
      </c>
      <c r="M12" s="1676">
        <v>2539.38</v>
      </c>
      <c r="N12" s="1678">
        <v>8.5869999999999997</v>
      </c>
      <c r="O12" s="1679">
        <f>H12+M12+N12</f>
        <v>7577.8030000000008</v>
      </c>
      <c r="P12" s="1680"/>
      <c r="Q12" s="1680"/>
    </row>
    <row r="13" spans="1:17" s="1681" customFormat="1" ht="14.25" customHeight="1">
      <c r="A13" s="1673"/>
      <c r="B13" s="1674" t="s">
        <v>245</v>
      </c>
      <c r="C13" s="1675">
        <v>291.5</v>
      </c>
      <c r="D13" s="1675">
        <v>58.6</v>
      </c>
      <c r="E13" s="1675">
        <v>3821.9</v>
      </c>
      <c r="F13" s="1675">
        <v>986.1</v>
      </c>
      <c r="G13" s="1675">
        <v>4808</v>
      </c>
      <c r="H13" s="1676">
        <v>5099.5</v>
      </c>
      <c r="I13" s="1677">
        <v>38.299999999999997</v>
      </c>
      <c r="J13" s="1675">
        <v>1797.2</v>
      </c>
      <c r="K13" s="1675">
        <v>742.9</v>
      </c>
      <c r="L13" s="1675">
        <v>2540</v>
      </c>
      <c r="M13" s="1676">
        <v>2578.3000000000002</v>
      </c>
      <c r="N13" s="1678">
        <v>8.3000000000000007</v>
      </c>
      <c r="O13" s="1679">
        <v>7686.1</v>
      </c>
      <c r="P13" s="1680"/>
      <c r="Q13" s="1680"/>
    </row>
    <row r="14" spans="1:17" s="1681" customFormat="1" ht="14.25" customHeight="1">
      <c r="A14" s="1673"/>
      <c r="B14" s="1674" t="s">
        <v>242</v>
      </c>
      <c r="C14" s="1675">
        <v>291.10000000000002</v>
      </c>
      <c r="D14" s="1675">
        <v>51.57</v>
      </c>
      <c r="E14" s="1675">
        <v>3854.95</v>
      </c>
      <c r="F14" s="1675">
        <v>942.2</v>
      </c>
      <c r="G14" s="1675">
        <v>4794.2</v>
      </c>
      <c r="H14" s="1676">
        <v>5085.3</v>
      </c>
      <c r="I14" s="1677">
        <v>36.69</v>
      </c>
      <c r="J14" s="1675">
        <v>1767.49</v>
      </c>
      <c r="K14" s="1675">
        <v>730.35</v>
      </c>
      <c r="L14" s="1675">
        <v>2497.8000000000002</v>
      </c>
      <c r="M14" s="1676">
        <v>2534.5</v>
      </c>
      <c r="N14" s="1678">
        <v>8.6999999999999993</v>
      </c>
      <c r="O14" s="1679">
        <v>7628.5</v>
      </c>
      <c r="P14" s="1680"/>
      <c r="Q14" s="1680"/>
    </row>
    <row r="15" spans="1:17" s="1672" customFormat="1" ht="20.25" customHeight="1">
      <c r="A15" s="1669">
        <v>2018</v>
      </c>
      <c r="B15" s="1670" t="s">
        <v>243</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671"/>
      <c r="Q15" s="1671"/>
    </row>
    <row r="16" spans="1:17" s="1681" customFormat="1" ht="14.25" customHeight="1">
      <c r="A16" s="1673"/>
      <c r="B16" s="1674" t="s">
        <v>244</v>
      </c>
      <c r="C16" s="1675">
        <v>286.05</v>
      </c>
      <c r="D16" s="1675">
        <v>57.78</v>
      </c>
      <c r="E16" s="1675">
        <v>3877.75</v>
      </c>
      <c r="F16" s="1675">
        <v>928.89</v>
      </c>
      <c r="G16" s="1675">
        <v>4806.68</v>
      </c>
      <c r="H16" s="963">
        <f>+C16+G16</f>
        <v>5092.7300000000005</v>
      </c>
      <c r="I16" s="1677">
        <v>37.6</v>
      </c>
      <c r="J16" s="1675">
        <v>1899.8</v>
      </c>
      <c r="K16" s="1675">
        <v>734.6</v>
      </c>
      <c r="L16" s="1675">
        <v>2634.48</v>
      </c>
      <c r="M16" s="963">
        <f>+I16+L16</f>
        <v>2672.08</v>
      </c>
      <c r="N16" s="1678">
        <v>7.45</v>
      </c>
      <c r="O16" s="966">
        <f>+H16+M16+N16</f>
        <v>7772.26</v>
      </c>
      <c r="P16" s="1680"/>
      <c r="Q16" s="1680"/>
    </row>
    <row r="17" spans="1:17" s="1681" customFormat="1" ht="14.25" customHeight="1">
      <c r="A17" s="1673"/>
      <c r="B17" s="1674" t="s">
        <v>245</v>
      </c>
      <c r="C17" s="1675">
        <v>291.85500000000002</v>
      </c>
      <c r="D17" s="1675">
        <v>67.680000000000007</v>
      </c>
      <c r="E17" s="1675">
        <v>3900.3670000000002</v>
      </c>
      <c r="F17" s="1675">
        <v>909.26099999999997</v>
      </c>
      <c r="G17" s="1675">
        <v>4809.6499999999996</v>
      </c>
      <c r="H17" s="963">
        <v>5101.5049999999992</v>
      </c>
      <c r="I17" s="1677">
        <v>43.344000000000001</v>
      </c>
      <c r="J17" s="1675">
        <v>1967.3610000000001</v>
      </c>
      <c r="K17" s="1675">
        <v>739.7</v>
      </c>
      <c r="L17" s="1675">
        <v>2707.65</v>
      </c>
      <c r="M17" s="963">
        <v>2750.9940000000001</v>
      </c>
      <c r="N17" s="1678">
        <v>7.4130000000000003</v>
      </c>
      <c r="O17" s="966">
        <v>7859.9119999999994</v>
      </c>
      <c r="P17" s="1680"/>
      <c r="Q17" s="1680"/>
    </row>
    <row r="18" spans="1:17" s="1681" customFormat="1" ht="14.25" customHeight="1">
      <c r="A18" s="1673"/>
      <c r="B18" s="1674" t="s">
        <v>242</v>
      </c>
      <c r="C18" s="1675">
        <v>266.27</v>
      </c>
      <c r="D18" s="1675">
        <v>68.150000000000006</v>
      </c>
      <c r="E18" s="1675">
        <v>3841.6</v>
      </c>
      <c r="F18" s="1675">
        <v>900.24</v>
      </c>
      <c r="G18" s="1675">
        <v>4741.8</v>
      </c>
      <c r="H18" s="963">
        <f>C18+G18</f>
        <v>5008.07</v>
      </c>
      <c r="I18" s="1677">
        <v>40.081000000000003</v>
      </c>
      <c r="J18" s="1675">
        <v>2058.65</v>
      </c>
      <c r="K18" s="1675">
        <v>624.41999999999996</v>
      </c>
      <c r="L18" s="1675">
        <v>2683.087</v>
      </c>
      <c r="M18" s="963">
        <f>I18+L18</f>
        <v>2723.1680000000001</v>
      </c>
      <c r="N18" s="1678">
        <v>7.5819999999999999</v>
      </c>
      <c r="O18" s="966">
        <f>H18+M18+N18</f>
        <v>7738.82</v>
      </c>
      <c r="P18" s="1680"/>
      <c r="Q18" s="1680"/>
    </row>
    <row r="19" spans="1:17" s="1672" customFormat="1" ht="20.25" customHeight="1">
      <c r="A19" s="1669">
        <v>2019</v>
      </c>
      <c r="B19" s="1670" t="s">
        <v>243</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671"/>
      <c r="Q19" s="1671"/>
    </row>
    <row r="20" spans="1:17" s="1681" customFormat="1" ht="14.25" customHeight="1">
      <c r="A20" s="1673"/>
      <c r="B20" s="1674" t="s">
        <v>244</v>
      </c>
      <c r="C20" s="1675">
        <v>289.3</v>
      </c>
      <c r="D20" s="1675">
        <v>121.3</v>
      </c>
      <c r="E20" s="1675">
        <v>3897.6</v>
      </c>
      <c r="F20" s="1675">
        <v>857.4</v>
      </c>
      <c r="G20" s="1675">
        <f>+F20+E20</f>
        <v>4755</v>
      </c>
      <c r="H20" s="1676">
        <f>C20+G20</f>
        <v>5044.3</v>
      </c>
      <c r="I20" s="1677">
        <v>40.299999999999997</v>
      </c>
      <c r="J20" s="1675">
        <v>1985.7</v>
      </c>
      <c r="K20" s="1675">
        <v>1266.2</v>
      </c>
      <c r="L20" s="1675">
        <f>J20+K20</f>
        <v>3251.9</v>
      </c>
      <c r="M20" s="1676">
        <f>L20+I20</f>
        <v>3292.2000000000003</v>
      </c>
      <c r="N20" s="1678">
        <v>7.4</v>
      </c>
      <c r="O20" s="1679">
        <f>H20+M20+N20</f>
        <v>8343.9</v>
      </c>
      <c r="P20" s="1680"/>
      <c r="Q20" s="1680"/>
    </row>
    <row r="21" spans="1:17" s="1681" customFormat="1" ht="14.25" customHeight="1">
      <c r="A21" s="1673"/>
      <c r="B21" s="1674" t="s">
        <v>245</v>
      </c>
      <c r="C21" s="1675">
        <v>386.3</v>
      </c>
      <c r="D21" s="1675">
        <v>111.5</v>
      </c>
      <c r="E21" s="1675">
        <v>3960.4</v>
      </c>
      <c r="F21" s="1675">
        <v>3316.2</v>
      </c>
      <c r="G21" s="1675">
        <f>+F21+E21</f>
        <v>7276.6</v>
      </c>
      <c r="H21" s="963">
        <f>C21+G21</f>
        <v>7662.9000000000005</v>
      </c>
      <c r="I21" s="1677">
        <v>47.9</v>
      </c>
      <c r="J21" s="1675">
        <v>2037.8</v>
      </c>
      <c r="K21" s="1675">
        <v>1235.0999999999999</v>
      </c>
      <c r="L21" s="1675">
        <f>J21+K21</f>
        <v>3272.8999999999996</v>
      </c>
      <c r="M21" s="963">
        <f>L21+I21</f>
        <v>3320.7999999999997</v>
      </c>
      <c r="N21" s="1678">
        <v>6</v>
      </c>
      <c r="O21" s="966">
        <f>H21+M21+N21</f>
        <v>10989.7</v>
      </c>
      <c r="P21" s="1680"/>
      <c r="Q21" s="1680"/>
    </row>
    <row r="22" spans="1:17" s="1681" customFormat="1" ht="14.25" customHeight="1">
      <c r="A22" s="1673"/>
      <c r="B22" s="1674" t="s">
        <v>242</v>
      </c>
      <c r="C22" s="1675">
        <v>252.3</v>
      </c>
      <c r="D22" s="1675">
        <v>134.30000000000001</v>
      </c>
      <c r="E22" s="1323">
        <v>4087.9</v>
      </c>
      <c r="F22" s="1675">
        <v>886.9</v>
      </c>
      <c r="G22" s="1675">
        <v>4974.8</v>
      </c>
      <c r="H22" s="963">
        <v>5227.1000000000004</v>
      </c>
      <c r="I22" s="1677">
        <v>39.799999999999997</v>
      </c>
      <c r="J22" s="1675">
        <v>2533.6</v>
      </c>
      <c r="K22" s="1675">
        <v>849.8</v>
      </c>
      <c r="L22" s="1675">
        <v>3383.3999999999996</v>
      </c>
      <c r="M22" s="963">
        <v>3423.2</v>
      </c>
      <c r="N22" s="1678">
        <v>7.9</v>
      </c>
      <c r="O22" s="966">
        <v>8658.1999999999989</v>
      </c>
      <c r="P22" s="1680"/>
      <c r="Q22" s="1680"/>
    </row>
    <row r="23" spans="1:17" s="1672" customFormat="1" ht="20.25" customHeight="1">
      <c r="A23" s="1669">
        <v>2020</v>
      </c>
      <c r="B23" s="1670" t="s">
        <v>243</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671"/>
      <c r="Q23" s="1671"/>
    </row>
    <row r="24" spans="1:17" s="1681" customFormat="1" ht="14.25" customHeight="1">
      <c r="A24" s="1673"/>
      <c r="B24" s="1674" t="s">
        <v>244</v>
      </c>
      <c r="C24" s="1675">
        <v>364.4</v>
      </c>
      <c r="D24" s="1675">
        <v>162.595</v>
      </c>
      <c r="E24" s="1675">
        <v>3580.2</v>
      </c>
      <c r="F24" s="1675">
        <v>3129.69</v>
      </c>
      <c r="G24" s="1675">
        <v>6709.9441999999999</v>
      </c>
      <c r="H24" s="1676">
        <v>7074.3441999999995</v>
      </c>
      <c r="I24" s="1677">
        <v>35.700000000000003</v>
      </c>
      <c r="J24" s="1675">
        <v>1949.67</v>
      </c>
      <c r="K24" s="1675">
        <v>1189.7940000000001</v>
      </c>
      <c r="L24" s="1675">
        <v>3139.4639999999999</v>
      </c>
      <c r="M24" s="1676">
        <v>3175.1639999999998</v>
      </c>
      <c r="N24" s="1678">
        <v>10.08</v>
      </c>
      <c r="O24" s="1679">
        <v>10259.5882</v>
      </c>
      <c r="P24" s="1680"/>
      <c r="Q24" s="1680"/>
    </row>
    <row r="25" spans="1:17" s="1681" customFormat="1" ht="14.25" customHeight="1">
      <c r="A25" s="1673"/>
      <c r="B25" s="1674" t="s">
        <v>245</v>
      </c>
      <c r="C25" s="1675">
        <v>333</v>
      </c>
      <c r="D25" s="1675">
        <v>150.6</v>
      </c>
      <c r="E25" s="1675">
        <v>3674</v>
      </c>
      <c r="F25" s="1675">
        <v>3000.4</v>
      </c>
      <c r="G25" s="1675">
        <v>6671.4</v>
      </c>
      <c r="H25" s="1676">
        <v>7004.4</v>
      </c>
      <c r="I25" s="1677">
        <v>40</v>
      </c>
      <c r="J25" s="1675">
        <v>2502.4</v>
      </c>
      <c r="K25" s="1675">
        <v>899.6</v>
      </c>
      <c r="L25" s="1675">
        <v>3389.7</v>
      </c>
      <c r="M25" s="1676">
        <v>3429.7</v>
      </c>
      <c r="N25" s="1678">
        <v>8</v>
      </c>
      <c r="O25" s="1679">
        <v>10442.099999999999</v>
      </c>
      <c r="P25" s="1680"/>
      <c r="Q25" s="1680"/>
    </row>
    <row r="26" spans="1:17" s="1681" customFormat="1" ht="14.25" customHeight="1">
      <c r="A26" s="1673"/>
      <c r="B26" s="1674" t="s">
        <v>242</v>
      </c>
      <c r="C26" s="1675">
        <v>400.06</v>
      </c>
      <c r="D26" s="1675">
        <v>201.61</v>
      </c>
      <c r="E26" s="1675">
        <v>4136</v>
      </c>
      <c r="F26" s="1675">
        <v>3074</v>
      </c>
      <c r="G26" s="1675">
        <v>7210</v>
      </c>
      <c r="H26" s="1676">
        <f>+C26+G26</f>
        <v>7610.06</v>
      </c>
      <c r="I26" s="1677">
        <v>39.164999999999999</v>
      </c>
      <c r="J26" s="1675">
        <v>3030.8</v>
      </c>
      <c r="K26" s="1675">
        <v>592.11699999999996</v>
      </c>
      <c r="L26" s="1675">
        <f>+J26+K26</f>
        <v>3622.9170000000004</v>
      </c>
      <c r="M26" s="1676">
        <f>+I26+L26</f>
        <v>3662.0820000000003</v>
      </c>
      <c r="N26" s="1678">
        <v>8.1940000000000008</v>
      </c>
      <c r="O26" s="1679">
        <f>+N26+M26+H26</f>
        <v>11280.336000000001</v>
      </c>
      <c r="P26" s="1680"/>
      <c r="Q26" s="1680"/>
    </row>
    <row r="27" spans="1:17" s="1672" customFormat="1" ht="20.25" customHeight="1">
      <c r="A27" s="1669">
        <v>2021</v>
      </c>
      <c r="B27" s="1670" t="s">
        <v>243</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671"/>
      <c r="Q27" s="1671"/>
    </row>
    <row r="28" spans="1:17" s="1672" customFormat="1" ht="14.25" customHeight="1">
      <c r="A28" s="1669"/>
      <c r="B28" s="1670" t="s">
        <v>244</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671"/>
      <c r="Q28" s="1671"/>
    </row>
    <row r="29" spans="1:17" s="1672" customFormat="1" ht="14.25" customHeight="1">
      <c r="A29" s="1669"/>
      <c r="B29" s="1670" t="s">
        <v>245</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671"/>
      <c r="Q29" s="1671"/>
    </row>
    <row r="30" spans="1:17" s="1672" customFormat="1" ht="14.25" customHeight="1">
      <c r="A30" s="1669"/>
      <c r="B30" s="1670" t="s">
        <v>242</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671"/>
      <c r="Q30" s="1671"/>
    </row>
    <row r="31" spans="1:17" s="1672" customFormat="1" ht="20.25" customHeight="1">
      <c r="A31" s="1669">
        <v>2022</v>
      </c>
      <c r="B31" s="1670" t="s">
        <v>243</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671"/>
      <c r="Q31" s="1671"/>
    </row>
    <row r="32" spans="1:17" s="1672" customFormat="1" ht="14.25" customHeight="1">
      <c r="A32" s="1669"/>
      <c r="B32" s="1670" t="s">
        <v>244</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671"/>
      <c r="Q32" s="1671"/>
    </row>
    <row r="33" spans="1:17" s="1672" customFormat="1" ht="14.25" customHeight="1">
      <c r="A33" s="1669"/>
      <c r="B33" s="1670" t="s">
        <v>245</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671"/>
      <c r="Q33" s="1671"/>
    </row>
    <row r="34" spans="1:17" s="1672" customFormat="1" ht="14.25" customHeight="1">
      <c r="A34" s="1669"/>
      <c r="B34" s="1670" t="s">
        <v>242</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671"/>
      <c r="Q34" s="1671"/>
    </row>
    <row r="35" spans="1:17" s="1672" customFormat="1" ht="20.25" customHeight="1">
      <c r="A35" s="1669">
        <v>2023</v>
      </c>
      <c r="B35" s="1670" t="s">
        <v>243</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671"/>
      <c r="Q35" s="1671"/>
    </row>
    <row r="36" spans="1:17" s="1672" customFormat="1" ht="14.25" customHeight="1">
      <c r="A36" s="1669"/>
      <c r="B36" s="1670" t="s">
        <v>244</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671"/>
      <c r="Q36" s="1671"/>
    </row>
    <row r="37" spans="1:17" s="1672" customFormat="1" ht="14.25" customHeight="1">
      <c r="A37" s="1669"/>
      <c r="B37" s="1670" t="s">
        <v>245</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671"/>
      <c r="Q37" s="1671"/>
    </row>
    <row r="38" spans="1:17" s="1672" customFormat="1" ht="14.25" customHeight="1">
      <c r="A38" s="1669"/>
      <c r="B38" s="1670" t="s">
        <v>242</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671"/>
      <c r="Q38" s="1671"/>
    </row>
    <row r="39" spans="1:17" s="1672" customFormat="1" ht="20.25" customHeight="1">
      <c r="A39" s="1669">
        <v>2024</v>
      </c>
      <c r="B39" s="1670" t="s">
        <v>243</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671"/>
      <c r="Q39" s="1671"/>
    </row>
    <row r="40" spans="1:17" s="1672" customFormat="1" ht="14.25" customHeight="1">
      <c r="A40" s="1669"/>
      <c r="B40" s="1670" t="s">
        <v>244</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671"/>
      <c r="Q40" s="1671"/>
    </row>
    <row r="41" spans="1:17" s="1672" customFormat="1" ht="14.25" customHeight="1">
      <c r="A41" s="1669"/>
      <c r="B41" s="1670" t="s">
        <v>245</v>
      </c>
      <c r="C41" s="962">
        <v>709.5</v>
      </c>
      <c r="D41" s="962">
        <v>555.29999999999995</v>
      </c>
      <c r="E41" s="962">
        <v>3089.3</v>
      </c>
      <c r="F41" s="962">
        <v>3993.7</v>
      </c>
      <c r="G41" s="962">
        <f t="shared" ref="G41" si="11">SUM(E41:F41)</f>
        <v>7083</v>
      </c>
      <c r="H41" s="963">
        <f t="shared" ref="H41"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671"/>
      <c r="Q41" s="1671"/>
    </row>
    <row r="42" spans="1:17">
      <c r="A42" s="1682"/>
      <c r="B42" s="1682"/>
      <c r="C42" s="1682"/>
      <c r="D42" s="1682"/>
      <c r="E42" s="1682"/>
      <c r="F42" s="1682"/>
      <c r="G42" s="1682"/>
      <c r="H42" s="1682"/>
      <c r="I42" s="1682"/>
      <c r="J42" s="1682"/>
      <c r="K42" s="1682"/>
      <c r="L42" s="1682"/>
      <c r="M42" s="1682"/>
      <c r="N42" s="1682"/>
      <c r="O42" s="1682"/>
    </row>
    <row r="43" spans="1:17" s="25" customFormat="1" ht="12.75">
      <c r="A43" s="382" t="s">
        <v>1175</v>
      </c>
      <c r="B43" s="3"/>
      <c r="C43" s="3"/>
      <c r="D43" s="3"/>
      <c r="E43" s="3"/>
      <c r="F43" s="3"/>
      <c r="G43" s="3"/>
      <c r="H43" s="3"/>
      <c r="I43" s="3"/>
      <c r="J43" s="3"/>
      <c r="K43" s="3"/>
      <c r="L43" s="3"/>
      <c r="M43" s="3"/>
      <c r="N43" s="3"/>
      <c r="O43" s="3"/>
      <c r="P43" s="3"/>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5"/>
  <sheetViews>
    <sheetView zoomScale="85" zoomScaleNormal="85" workbookViewId="0">
      <pane ySplit="10" topLeftCell="A24" activePane="bottomLeft" state="frozen"/>
      <selection activeCell="B12" sqref="B12"/>
      <selection pane="bottomLeft" activeCell="L34" sqref="L34"/>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5703125" style="8" customWidth="1"/>
    <col min="17" max="16384" width="7.85546875" style="8"/>
  </cols>
  <sheetData>
    <row r="1" spans="1:16" ht="18" customHeight="1">
      <c r="A1" s="16" t="s">
        <v>1757</v>
      </c>
      <c r="B1" s="10"/>
      <c r="C1" s="10"/>
      <c r="D1" s="10"/>
      <c r="E1" s="10"/>
      <c r="F1" s="10"/>
      <c r="G1" s="10"/>
      <c r="H1" s="10"/>
      <c r="I1" s="10"/>
      <c r="J1" s="10"/>
      <c r="K1" s="10"/>
      <c r="L1" s="10"/>
      <c r="M1" s="10"/>
      <c r="N1" s="10"/>
      <c r="O1" s="10"/>
    </row>
    <row r="2" spans="1:16" ht="18" customHeight="1">
      <c r="A2" s="1613"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619" customFormat="1" ht="14.25" customHeight="1">
      <c r="A4" s="1614" t="s">
        <v>1176</v>
      </c>
      <c r="B4" s="1615"/>
      <c r="C4" s="1616"/>
      <c r="D4" s="1616"/>
      <c r="E4" s="1616"/>
      <c r="F4" s="1616"/>
      <c r="G4" s="1616"/>
      <c r="H4" s="1616"/>
      <c r="I4" s="1616"/>
      <c r="J4" s="1616"/>
      <c r="K4" s="1616"/>
      <c r="L4" s="1617"/>
      <c r="M4" s="1617"/>
      <c r="N4" s="1617"/>
      <c r="O4" s="1618" t="s">
        <v>1177</v>
      </c>
    </row>
    <row r="5" spans="1:16" s="1619" customFormat="1" ht="18" customHeight="1">
      <c r="A5" s="1240" t="s">
        <v>383</v>
      </c>
      <c r="B5" s="1241"/>
      <c r="C5" s="1620" t="s">
        <v>375</v>
      </c>
      <c r="D5" s="1621"/>
      <c r="E5" s="1622"/>
      <c r="F5" s="1616"/>
      <c r="G5" s="1623"/>
      <c r="H5" s="1624" t="s">
        <v>376</v>
      </c>
      <c r="I5" s="1625"/>
      <c r="J5" s="1626" t="s">
        <v>377</v>
      </c>
      <c r="K5" s="1623"/>
      <c r="L5" s="1627"/>
      <c r="M5" s="1628"/>
      <c r="N5" s="1623"/>
      <c r="O5" s="301" t="s">
        <v>378</v>
      </c>
    </row>
    <row r="6" spans="1:16" s="50" customFormat="1" ht="18" customHeight="1">
      <c r="A6" s="1629"/>
      <c r="B6" s="1630"/>
      <c r="C6" s="1631" t="s">
        <v>758</v>
      </c>
      <c r="D6" s="591"/>
      <c r="E6" s="1632"/>
      <c r="F6" s="1633"/>
      <c r="G6" s="1634" t="s">
        <v>381</v>
      </c>
      <c r="H6" s="911"/>
      <c r="I6" s="1635"/>
      <c r="J6" s="1626" t="s">
        <v>758</v>
      </c>
      <c r="K6" s="1636"/>
      <c r="L6" s="122"/>
      <c r="M6" s="122"/>
      <c r="N6" s="296" t="s">
        <v>381</v>
      </c>
      <c r="O6" s="187"/>
    </row>
    <row r="7" spans="1:16" s="50" customFormat="1" ht="18" customHeight="1">
      <c r="A7" s="1629"/>
      <c r="B7" s="1630"/>
      <c r="C7" s="1637"/>
      <c r="D7" s="1638" t="s">
        <v>1178</v>
      </c>
      <c r="E7" s="84" t="s">
        <v>1179</v>
      </c>
      <c r="F7" s="1638" t="s">
        <v>1180</v>
      </c>
      <c r="G7" s="83"/>
      <c r="H7" s="1639" t="s">
        <v>1181</v>
      </c>
      <c r="I7" s="1635" t="s">
        <v>386</v>
      </c>
      <c r="J7" s="1638" t="s">
        <v>1182</v>
      </c>
      <c r="K7" s="84" t="s">
        <v>1183</v>
      </c>
      <c r="L7" s="1640" t="s">
        <v>387</v>
      </c>
      <c r="M7" s="95" t="s">
        <v>390</v>
      </c>
      <c r="N7" s="83"/>
      <c r="O7" s="1641" t="s">
        <v>387</v>
      </c>
    </row>
    <row r="8" spans="1:16" s="50" customFormat="1" ht="18" customHeight="1">
      <c r="A8" s="1642" t="s">
        <v>391</v>
      </c>
      <c r="B8" s="1643"/>
      <c r="C8" s="1644" t="s">
        <v>7</v>
      </c>
      <c r="D8" s="1638" t="s">
        <v>436</v>
      </c>
      <c r="E8" s="1644" t="s">
        <v>1184</v>
      </c>
      <c r="F8" s="1639" t="s">
        <v>760</v>
      </c>
      <c r="G8" s="1645" t="s">
        <v>386</v>
      </c>
      <c r="H8" s="1639" t="s">
        <v>1185</v>
      </c>
      <c r="I8" s="173" t="s">
        <v>397</v>
      </c>
      <c r="J8" s="1638" t="s">
        <v>436</v>
      </c>
      <c r="K8" s="1646" t="s">
        <v>1184</v>
      </c>
      <c r="L8" s="1640" t="s">
        <v>760</v>
      </c>
      <c r="M8" s="95" t="s">
        <v>800</v>
      </c>
      <c r="N8" s="1647" t="s">
        <v>386</v>
      </c>
      <c r="O8" s="1641" t="s">
        <v>1185</v>
      </c>
    </row>
    <row r="9" spans="1:16" s="50" customFormat="1" ht="18" customHeight="1">
      <c r="A9" s="1642"/>
      <c r="B9" s="1643"/>
      <c r="C9" s="63" t="s">
        <v>778</v>
      </c>
      <c r="D9" s="1638" t="s">
        <v>1186</v>
      </c>
      <c r="E9" s="1638" t="s">
        <v>1187</v>
      </c>
      <c r="F9" s="1648" t="s">
        <v>404</v>
      </c>
      <c r="G9" s="63" t="s">
        <v>397</v>
      </c>
      <c r="H9" s="60" t="s">
        <v>384</v>
      </c>
      <c r="I9" s="173"/>
      <c r="J9" s="1638" t="s">
        <v>1188</v>
      </c>
      <c r="K9" s="1638" t="s">
        <v>1189</v>
      </c>
      <c r="L9" s="63" t="s">
        <v>404</v>
      </c>
      <c r="M9" s="226" t="s">
        <v>1190</v>
      </c>
      <c r="N9" s="63" t="s">
        <v>397</v>
      </c>
      <c r="O9" s="51" t="s">
        <v>384</v>
      </c>
      <c r="P9" s="1649"/>
    </row>
    <row r="10" spans="1:16" s="39" customFormat="1" ht="18" customHeight="1">
      <c r="A10" s="1650"/>
      <c r="B10" s="1651"/>
      <c r="C10" s="130"/>
      <c r="D10" s="1652" t="s">
        <v>410</v>
      </c>
      <c r="E10" s="89" t="s">
        <v>1191</v>
      </c>
      <c r="F10" s="1653" t="s">
        <v>375</v>
      </c>
      <c r="G10" s="116"/>
      <c r="H10" s="1654" t="s">
        <v>375</v>
      </c>
      <c r="I10" s="1655"/>
      <c r="J10" s="1652" t="s">
        <v>410</v>
      </c>
      <c r="K10" s="89" t="s">
        <v>1191</v>
      </c>
      <c r="L10" s="49" t="s">
        <v>377</v>
      </c>
      <c r="M10" s="49" t="s">
        <v>415</v>
      </c>
      <c r="N10" s="130"/>
      <c r="O10" s="52" t="s">
        <v>377</v>
      </c>
      <c r="P10" s="1649"/>
    </row>
    <row r="11" spans="1:16" s="321" customFormat="1" ht="20.25" customHeight="1">
      <c r="A11" s="770">
        <v>2017</v>
      </c>
      <c r="B11" s="923" t="s">
        <v>243</v>
      </c>
      <c r="C11" s="659">
        <v>48566.319000000003</v>
      </c>
      <c r="D11" s="659">
        <v>4923.9269999999997</v>
      </c>
      <c r="E11" s="659">
        <v>1338.7750000000001</v>
      </c>
      <c r="F11" s="659">
        <v>27137.902999999998</v>
      </c>
      <c r="G11" s="659">
        <f t="shared" ref="G11" si="0">SUM(C11:F11)</f>
        <v>81966.923999999999</v>
      </c>
      <c r="H11" s="1656">
        <v>38733.561000000002</v>
      </c>
      <c r="I11" s="949">
        <f t="shared" ref="I11" si="1">SUM(G11:H11)</f>
        <v>120700.485</v>
      </c>
      <c r="J11" s="1657">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244</v>
      </c>
      <c r="C12" s="659">
        <v>57826.665999999997</v>
      </c>
      <c r="D12" s="659">
        <v>4823.0469999999996</v>
      </c>
      <c r="E12" s="659">
        <v>1755.8720000000001</v>
      </c>
      <c r="F12" s="659">
        <v>27842.030999999999</v>
      </c>
      <c r="G12" s="659">
        <f t="shared" ref="G12:G18" si="3">SUM(C12:F12)</f>
        <v>92247.615999999995</v>
      </c>
      <c r="H12" s="1656">
        <v>40646.851000000002</v>
      </c>
      <c r="I12" s="949">
        <f t="shared" ref="I12:I18" si="4">SUM(G12:H12)</f>
        <v>132894.467</v>
      </c>
      <c r="J12" s="1657">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245</v>
      </c>
      <c r="C13" s="659">
        <v>76983.077999999994</v>
      </c>
      <c r="D13" s="659">
        <v>4830.2389999999996</v>
      </c>
      <c r="E13" s="659">
        <v>6438.692</v>
      </c>
      <c r="F13" s="659">
        <v>28938.654999999999</v>
      </c>
      <c r="G13" s="659">
        <f t="shared" si="3"/>
        <v>117190.66399999999</v>
      </c>
      <c r="H13" s="1656">
        <v>28773.835999999999</v>
      </c>
      <c r="I13" s="949">
        <f t="shared" si="4"/>
        <v>145964.5</v>
      </c>
      <c r="J13" s="1657">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242</v>
      </c>
      <c r="C14" s="659">
        <v>53188.843999999997</v>
      </c>
      <c r="D14" s="659">
        <v>4831.29</v>
      </c>
      <c r="E14" s="659">
        <v>1000.2670000000001</v>
      </c>
      <c r="F14" s="659">
        <v>17667.021000000001</v>
      </c>
      <c r="G14" s="659">
        <f t="shared" si="3"/>
        <v>76687.421999999991</v>
      </c>
      <c r="H14" s="1656">
        <v>42744.773000000001</v>
      </c>
      <c r="I14" s="949">
        <f t="shared" si="4"/>
        <v>119432.19499999999</v>
      </c>
      <c r="J14" s="1657">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243</v>
      </c>
      <c r="C15" s="659">
        <v>80019.054999999993</v>
      </c>
      <c r="D15" s="659">
        <v>4987.3919999999998</v>
      </c>
      <c r="E15" s="659">
        <v>1170.886</v>
      </c>
      <c r="F15" s="659">
        <v>37002.160000000003</v>
      </c>
      <c r="G15" s="659">
        <f t="shared" si="3"/>
        <v>123179.49299999999</v>
      </c>
      <c r="H15" s="1656">
        <v>34930.497000000003</v>
      </c>
      <c r="I15" s="949">
        <f t="shared" si="4"/>
        <v>158109.99</v>
      </c>
      <c r="J15" s="1657">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244</v>
      </c>
      <c r="C16" s="659">
        <v>128775.82</v>
      </c>
      <c r="D16" s="659">
        <v>6487.5050000000001</v>
      </c>
      <c r="E16" s="659">
        <v>1563.655</v>
      </c>
      <c r="F16" s="659">
        <v>24741.257000000001</v>
      </c>
      <c r="G16" s="659">
        <f t="shared" si="3"/>
        <v>161568.23700000002</v>
      </c>
      <c r="H16" s="1656">
        <v>13749.763000000001</v>
      </c>
      <c r="I16" s="949">
        <f t="shared" si="4"/>
        <v>175318.00000000003</v>
      </c>
      <c r="J16" s="1657">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245</v>
      </c>
      <c r="C17" s="659">
        <v>78879.805999999997</v>
      </c>
      <c r="D17" s="659">
        <v>6629.4560000000001</v>
      </c>
      <c r="E17" s="659">
        <v>926.66600000000005</v>
      </c>
      <c r="F17" s="659">
        <v>20621.845000000001</v>
      </c>
      <c r="G17" s="659">
        <f t="shared" si="3"/>
        <v>107057.773</v>
      </c>
      <c r="H17" s="1656">
        <v>50565.328999999998</v>
      </c>
      <c r="I17" s="949">
        <f t="shared" si="4"/>
        <v>157623.10200000001</v>
      </c>
      <c r="J17" s="1657">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242</v>
      </c>
      <c r="C18" s="659">
        <v>37233.963000000003</v>
      </c>
      <c r="D18" s="659">
        <v>5298.0129999999999</v>
      </c>
      <c r="E18" s="659">
        <v>175.71</v>
      </c>
      <c r="F18" s="659">
        <v>20049.621999999999</v>
      </c>
      <c r="G18" s="659">
        <f t="shared" si="3"/>
        <v>62757.308000000005</v>
      </c>
      <c r="H18" s="1656">
        <v>46658.277999999998</v>
      </c>
      <c r="I18" s="949">
        <f t="shared" si="4"/>
        <v>109415.58600000001</v>
      </c>
      <c r="J18" s="1657">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243</v>
      </c>
      <c r="C19" s="659">
        <v>67398.918000000005</v>
      </c>
      <c r="D19" s="659">
        <v>5699.7550000000001</v>
      </c>
      <c r="E19" s="659">
        <v>45.393999999999998</v>
      </c>
      <c r="F19" s="659">
        <v>19399.987000000001</v>
      </c>
      <c r="G19" s="659">
        <f t="shared" ref="G19:G28" si="6">SUM(C19:F19)</f>
        <v>92544.054000000004</v>
      </c>
      <c r="H19" s="1656">
        <v>62112.968999999997</v>
      </c>
      <c r="I19" s="949">
        <f t="shared" ref="I19:I28" si="7">SUM(G19:H19)</f>
        <v>154657.02299999999</v>
      </c>
      <c r="J19" s="1657">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244</v>
      </c>
      <c r="C20" s="659">
        <v>79993.680999999997</v>
      </c>
      <c r="D20" s="659">
        <v>4638.3090000000002</v>
      </c>
      <c r="E20" s="659">
        <v>125.16800000000001</v>
      </c>
      <c r="F20" s="659">
        <v>21813.635999999999</v>
      </c>
      <c r="G20" s="659">
        <f t="shared" si="6"/>
        <v>106570.79399999999</v>
      </c>
      <c r="H20" s="1656">
        <v>28523.738000000001</v>
      </c>
      <c r="I20" s="949">
        <f t="shared" si="7"/>
        <v>135094.53200000001</v>
      </c>
      <c r="J20" s="1657">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245</v>
      </c>
      <c r="C21" s="659">
        <v>50552.430999999997</v>
      </c>
      <c r="D21" s="659">
        <v>4629.2929999999997</v>
      </c>
      <c r="E21" s="659">
        <v>18.102</v>
      </c>
      <c r="F21" s="659">
        <v>20682.09</v>
      </c>
      <c r="G21" s="659">
        <f t="shared" si="6"/>
        <v>75881.915999999997</v>
      </c>
      <c r="H21" s="1656">
        <v>38591.319000000003</v>
      </c>
      <c r="I21" s="949">
        <f t="shared" si="7"/>
        <v>114473.235</v>
      </c>
      <c r="J21" s="1657">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242</v>
      </c>
      <c r="C22" s="659">
        <v>51415.019</v>
      </c>
      <c r="D22" s="659">
        <v>4519.7269999999999</v>
      </c>
      <c r="E22" s="1322">
        <v>303.71800000000002</v>
      </c>
      <c r="F22" s="659">
        <v>18653.644</v>
      </c>
      <c r="G22" s="659">
        <f t="shared" si="6"/>
        <v>74892.108000000007</v>
      </c>
      <c r="H22" s="1656">
        <v>26850.564999999999</v>
      </c>
      <c r="I22" s="949">
        <f t="shared" si="7"/>
        <v>101742.67300000001</v>
      </c>
      <c r="J22" s="1657">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243</v>
      </c>
      <c r="C23" s="659">
        <v>60043.68</v>
      </c>
      <c r="D23" s="659">
        <v>6276.223</v>
      </c>
      <c r="E23" s="659">
        <v>38.531999999999996</v>
      </c>
      <c r="F23" s="659">
        <v>23805.592000000001</v>
      </c>
      <c r="G23" s="659">
        <f t="shared" si="6"/>
        <v>90164.027000000016</v>
      </c>
      <c r="H23" s="1656">
        <v>17132.455000000002</v>
      </c>
      <c r="I23" s="949">
        <f t="shared" si="7"/>
        <v>107296.48200000002</v>
      </c>
      <c r="J23" s="1657">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244</v>
      </c>
      <c r="C24" s="659">
        <v>65015.8</v>
      </c>
      <c r="D24" s="659">
        <v>8352.1119999999992</v>
      </c>
      <c r="E24" s="659">
        <v>85.296000000000006</v>
      </c>
      <c r="F24" s="659">
        <v>19793.214</v>
      </c>
      <c r="G24" s="659">
        <f t="shared" si="6"/>
        <v>93246.421999999991</v>
      </c>
      <c r="H24" s="1656">
        <v>11835.844999999999</v>
      </c>
      <c r="I24" s="949">
        <f t="shared" si="7"/>
        <v>105082.26699999999</v>
      </c>
      <c r="J24" s="1657">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245</v>
      </c>
      <c r="C25" s="659">
        <v>62703.959000000003</v>
      </c>
      <c r="D25" s="659">
        <v>10006.599</v>
      </c>
      <c r="E25" s="659">
        <v>598.05999999999995</v>
      </c>
      <c r="F25" s="659">
        <v>21265.112000000001</v>
      </c>
      <c r="G25" s="659">
        <f t="shared" si="6"/>
        <v>94573.73000000001</v>
      </c>
      <c r="H25" s="1656">
        <v>15385.348</v>
      </c>
      <c r="I25" s="949">
        <f t="shared" si="7"/>
        <v>109959.07800000001</v>
      </c>
      <c r="J25" s="1657">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242</v>
      </c>
      <c r="C26" s="659">
        <v>40913.815000000002</v>
      </c>
      <c r="D26" s="659">
        <v>13467</v>
      </c>
      <c r="E26" s="659">
        <v>268.34699999999998</v>
      </c>
      <c r="F26" s="659">
        <v>18949.780999999999</v>
      </c>
      <c r="G26" s="659">
        <f t="shared" si="6"/>
        <v>73598.942999999999</v>
      </c>
      <c r="H26" s="1656">
        <v>19767.734</v>
      </c>
      <c r="I26" s="949">
        <f t="shared" si="7"/>
        <v>93366.676999999996</v>
      </c>
      <c r="J26" s="1657">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243</v>
      </c>
      <c r="C27" s="659">
        <v>51431.955000000002</v>
      </c>
      <c r="D27" s="659">
        <v>12164.862999999999</v>
      </c>
      <c r="E27" s="659">
        <v>174.941</v>
      </c>
      <c r="F27" s="659">
        <v>21330.556</v>
      </c>
      <c r="G27" s="659">
        <f t="shared" si="6"/>
        <v>85102.315000000002</v>
      </c>
      <c r="H27" s="1656">
        <v>16453.017</v>
      </c>
      <c r="I27" s="949">
        <f t="shared" si="7"/>
        <v>101555.33199999999</v>
      </c>
      <c r="J27" s="1657">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244</v>
      </c>
      <c r="C28" s="659">
        <v>81209.459080000001</v>
      </c>
      <c r="D28" s="659">
        <v>12316.686</v>
      </c>
      <c r="E28" s="659">
        <v>65.284999999999997</v>
      </c>
      <c r="F28" s="659">
        <v>20780.416519999999</v>
      </c>
      <c r="G28" s="659">
        <f t="shared" si="6"/>
        <v>114371.8466</v>
      </c>
      <c r="H28" s="1656">
        <v>11847.885</v>
      </c>
      <c r="I28" s="949">
        <f t="shared" si="7"/>
        <v>126219.7316</v>
      </c>
      <c r="J28" s="1657">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245</v>
      </c>
      <c r="C29" s="659">
        <v>62901.071000000004</v>
      </c>
      <c r="D29" s="659">
        <v>12370.880999999999</v>
      </c>
      <c r="E29" s="659">
        <v>250.505</v>
      </c>
      <c r="F29" s="659">
        <v>20157.629000000001</v>
      </c>
      <c r="G29" s="659">
        <f t="shared" ref="G29:G41" si="9">SUM(C29:F29)</f>
        <v>95680.08600000001</v>
      </c>
      <c r="H29" s="1656">
        <v>23510.807000000001</v>
      </c>
      <c r="I29" s="949">
        <f t="shared" ref="I29:I41" si="10">SUM(G29:H29)</f>
        <v>119190.89300000001</v>
      </c>
      <c r="J29" s="1657">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242</v>
      </c>
      <c r="C30" s="659">
        <v>55767</v>
      </c>
      <c r="D30" s="659">
        <v>12365.621999999999</v>
      </c>
      <c r="E30" s="659">
        <v>76.736000000000004</v>
      </c>
      <c r="F30" s="659">
        <v>20782.249</v>
      </c>
      <c r="G30" s="659">
        <f t="shared" si="9"/>
        <v>88991.607000000004</v>
      </c>
      <c r="H30" s="1656">
        <v>19386.87</v>
      </c>
      <c r="I30" s="949">
        <f t="shared" si="10"/>
        <v>108378.477</v>
      </c>
      <c r="J30" s="1657">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243</v>
      </c>
      <c r="C31" s="659">
        <v>66484.941999999995</v>
      </c>
      <c r="D31" s="659">
        <v>10451.495999999999</v>
      </c>
      <c r="E31" s="659">
        <v>58.698</v>
      </c>
      <c r="F31" s="659">
        <v>11908.805</v>
      </c>
      <c r="G31" s="659">
        <f t="shared" si="9"/>
        <v>88903.940999999992</v>
      </c>
      <c r="H31" s="1656">
        <v>22256.692999999999</v>
      </c>
      <c r="I31" s="949">
        <f t="shared" si="10"/>
        <v>111160.63399999999</v>
      </c>
      <c r="J31" s="1657">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244</v>
      </c>
      <c r="C32" s="659">
        <v>60005.460740000002</v>
      </c>
      <c r="D32" s="659">
        <v>6475.3230000000003</v>
      </c>
      <c r="E32" s="659">
        <v>276.971</v>
      </c>
      <c r="F32" s="659">
        <v>11518.5</v>
      </c>
      <c r="G32" s="659">
        <f t="shared" si="9"/>
        <v>78276.254740000004</v>
      </c>
      <c r="H32" s="1656">
        <v>27419.29752</v>
      </c>
      <c r="I32" s="949">
        <f t="shared" si="10"/>
        <v>105695.55226</v>
      </c>
      <c r="J32" s="1657">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245</v>
      </c>
      <c r="C33" s="659">
        <v>79753.982919999995</v>
      </c>
      <c r="D33" s="659">
        <v>8332.884</v>
      </c>
      <c r="E33" s="659">
        <v>197.495</v>
      </c>
      <c r="F33" s="659">
        <v>14650.517260000001</v>
      </c>
      <c r="G33" s="659">
        <f t="shared" si="9"/>
        <v>102934.87917999999</v>
      </c>
      <c r="H33" s="1656">
        <v>17569.30615</v>
      </c>
      <c r="I33" s="949">
        <f t="shared" si="10"/>
        <v>120504.18532999999</v>
      </c>
      <c r="J33" s="1657">
        <v>9691.7620000000006</v>
      </c>
      <c r="K33" s="659">
        <v>62.9</v>
      </c>
      <c r="L33" s="659">
        <v>18655.982530000001</v>
      </c>
      <c r="M33" s="659">
        <v>73978.947</v>
      </c>
      <c r="N33" s="659">
        <f t="shared" si="11"/>
        <v>102389.59153000001</v>
      </c>
      <c r="O33" s="659">
        <v>18114.63553</v>
      </c>
      <c r="P33" s="793"/>
    </row>
    <row r="34" spans="1:16" s="321" customFormat="1" ht="15" customHeight="1">
      <c r="A34" s="770"/>
      <c r="B34" s="923" t="s">
        <v>242</v>
      </c>
      <c r="C34" s="659">
        <v>71569.377110000001</v>
      </c>
      <c r="D34" s="659">
        <v>6497.97786</v>
      </c>
      <c r="E34" s="659">
        <v>338.43599999999998</v>
      </c>
      <c r="F34" s="659">
        <v>12809.913920000001</v>
      </c>
      <c r="G34" s="659">
        <f t="shared" si="9"/>
        <v>91215.704890000008</v>
      </c>
      <c r="H34" s="1656">
        <v>22401.89935</v>
      </c>
      <c r="I34" s="949">
        <f t="shared" si="10"/>
        <v>113617.60424000002</v>
      </c>
      <c r="J34" s="1657">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243</v>
      </c>
      <c r="C35" s="659">
        <v>78660.297340000005</v>
      </c>
      <c r="D35" s="659">
        <v>6578.3487999999998</v>
      </c>
      <c r="E35" s="659">
        <v>460.262</v>
      </c>
      <c r="F35" s="659">
        <v>12732.08589</v>
      </c>
      <c r="G35" s="659">
        <f t="shared" si="9"/>
        <v>98430.994030000002</v>
      </c>
      <c r="H35" s="1656">
        <v>17854.050429999999</v>
      </c>
      <c r="I35" s="949">
        <f t="shared" si="10"/>
        <v>116285.04446</v>
      </c>
      <c r="J35" s="1657">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244</v>
      </c>
      <c r="C36" s="659">
        <v>74152.303</v>
      </c>
      <c r="D36" s="659">
        <v>18082.069</v>
      </c>
      <c r="E36" s="659">
        <v>570.19899999999996</v>
      </c>
      <c r="F36" s="659">
        <v>15163.634</v>
      </c>
      <c r="G36" s="659">
        <f t="shared" si="9"/>
        <v>107968.205</v>
      </c>
      <c r="H36" s="1656">
        <v>17903.008999999998</v>
      </c>
      <c r="I36" s="949">
        <f t="shared" si="10"/>
        <v>125871.21400000001</v>
      </c>
      <c r="J36" s="1657">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245</v>
      </c>
      <c r="C37" s="659">
        <v>69127.63</v>
      </c>
      <c r="D37" s="659">
        <v>20152.25</v>
      </c>
      <c r="E37" s="659">
        <v>396.55</v>
      </c>
      <c r="F37" s="659">
        <v>16900.900000000001</v>
      </c>
      <c r="G37" s="659">
        <f t="shared" si="9"/>
        <v>106577.33000000002</v>
      </c>
      <c r="H37" s="1656">
        <v>22363.599999999999</v>
      </c>
      <c r="I37" s="949">
        <f t="shared" si="10"/>
        <v>128940.93000000002</v>
      </c>
      <c r="J37" s="1657">
        <v>9523.89</v>
      </c>
      <c r="K37" s="659">
        <v>43.64</v>
      </c>
      <c r="L37" s="659">
        <v>20994.560000000001</v>
      </c>
      <c r="M37" s="659">
        <v>78851.47</v>
      </c>
      <c r="N37" s="659">
        <f t="shared" si="11"/>
        <v>109413.56</v>
      </c>
      <c r="O37" s="659">
        <v>19527.3</v>
      </c>
      <c r="P37" s="793"/>
    </row>
    <row r="38" spans="1:16" s="321" customFormat="1" ht="15" customHeight="1">
      <c r="A38" s="770"/>
      <c r="B38" s="923" t="s">
        <v>242</v>
      </c>
      <c r="C38" s="659">
        <v>73754.145382000002</v>
      </c>
      <c r="D38" s="659">
        <v>4667.38</v>
      </c>
      <c r="E38" s="659">
        <v>514.15800000000002</v>
      </c>
      <c r="F38" s="659">
        <v>12955.255192000001</v>
      </c>
      <c r="G38" s="659">
        <f t="shared" si="9"/>
        <v>91890.938574</v>
      </c>
      <c r="H38" s="1656">
        <v>39385.100839999999</v>
      </c>
      <c r="I38" s="949">
        <f t="shared" si="10"/>
        <v>131276.039414</v>
      </c>
      <c r="J38" s="1657">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243</v>
      </c>
      <c r="C39" s="659">
        <v>88276.874190000002</v>
      </c>
      <c r="D39" s="659">
        <v>20688.892980000001</v>
      </c>
      <c r="E39" s="659">
        <v>485.81299999999999</v>
      </c>
      <c r="F39" s="659">
        <v>13077.274636</v>
      </c>
      <c r="G39" s="659">
        <f t="shared" si="9"/>
        <v>122528.854806</v>
      </c>
      <c r="H39" s="1656">
        <v>35991.420010000002</v>
      </c>
      <c r="I39" s="949">
        <f t="shared" si="10"/>
        <v>158520.27481600002</v>
      </c>
      <c r="J39" s="1657">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244</v>
      </c>
      <c r="C40" s="659">
        <v>79874.399999999994</v>
      </c>
      <c r="D40" s="659">
        <v>20927.5</v>
      </c>
      <c r="E40" s="659">
        <v>725</v>
      </c>
      <c r="F40" s="659">
        <v>13086.8</v>
      </c>
      <c r="G40" s="659">
        <f t="shared" si="9"/>
        <v>114613.7</v>
      </c>
      <c r="H40" s="1656">
        <v>74777.100000000006</v>
      </c>
      <c r="I40" s="949">
        <f t="shared" si="10"/>
        <v>189390.8</v>
      </c>
      <c r="J40" s="1657">
        <v>21193.4</v>
      </c>
      <c r="K40" s="659">
        <v>35.9</v>
      </c>
      <c r="L40" s="659">
        <v>22230.799999999999</v>
      </c>
      <c r="M40" s="659">
        <v>88276.6</v>
      </c>
      <c r="N40" s="659">
        <f t="shared" si="11"/>
        <v>131736.70000000001</v>
      </c>
      <c r="O40" s="659">
        <v>57654.1</v>
      </c>
      <c r="P40" s="793"/>
    </row>
    <row r="41" spans="1:16" s="321" customFormat="1" ht="15" customHeight="1">
      <c r="A41" s="770"/>
      <c r="B41" s="923" t="s">
        <v>245</v>
      </c>
      <c r="C41" s="659">
        <v>63881.4</v>
      </c>
      <c r="D41" s="659">
        <v>21573.5</v>
      </c>
      <c r="E41" s="659">
        <v>406.8</v>
      </c>
      <c r="F41" s="659">
        <v>13813.9</v>
      </c>
      <c r="G41" s="659">
        <f t="shared" si="9"/>
        <v>99675.599999999991</v>
      </c>
      <c r="H41" s="1656">
        <v>35869.9</v>
      </c>
      <c r="I41" s="949">
        <f t="shared" si="10"/>
        <v>135545.5</v>
      </c>
      <c r="J41" s="1657">
        <v>14560.3</v>
      </c>
      <c r="K41" s="659">
        <v>236.9</v>
      </c>
      <c r="L41" s="659">
        <v>34932.1</v>
      </c>
      <c r="M41" s="659">
        <v>70643.8</v>
      </c>
      <c r="N41" s="659">
        <f t="shared" si="11"/>
        <v>120373.1</v>
      </c>
      <c r="O41" s="659">
        <v>15172.4</v>
      </c>
      <c r="P41" s="793"/>
    </row>
    <row r="42" spans="1:16" s="321" customFormat="1" ht="15" customHeight="1">
      <c r="A42" s="770"/>
      <c r="B42" s="923" t="s">
        <v>242</v>
      </c>
      <c r="C42" s="659">
        <v>63435.7</v>
      </c>
      <c r="D42" s="659">
        <v>5236.6000000000004</v>
      </c>
      <c r="E42" s="659">
        <v>581.5</v>
      </c>
      <c r="F42" s="659">
        <v>14306.4</v>
      </c>
      <c r="G42" s="659">
        <f t="shared" ref="G42" si="12">SUM(C42:F42)</f>
        <v>83560.2</v>
      </c>
      <c r="H42" s="1656">
        <v>35005.300000000003</v>
      </c>
      <c r="I42" s="949">
        <f t="shared" ref="I42" si="13">SUM(G42:H42)</f>
        <v>118565.5</v>
      </c>
      <c r="J42" s="1657">
        <v>7833.2</v>
      </c>
      <c r="K42" s="659">
        <v>38</v>
      </c>
      <c r="L42" s="659">
        <v>33761.1</v>
      </c>
      <c r="M42" s="659">
        <v>72815.3</v>
      </c>
      <c r="N42" s="659">
        <f t="shared" ref="N42" si="14">SUM(J42:M42)</f>
        <v>114447.6</v>
      </c>
      <c r="O42" s="659">
        <v>4117.8999999999996</v>
      </c>
      <c r="P42" s="793"/>
    </row>
    <row r="43" spans="1:16" s="2" customFormat="1" ht="20.25" customHeight="1">
      <c r="A43" s="215" t="s">
        <v>1192</v>
      </c>
      <c r="B43" s="1658"/>
      <c r="C43" s="217"/>
      <c r="D43" s="217"/>
      <c r="E43" s="217"/>
      <c r="F43" s="217"/>
      <c r="G43" s="217"/>
      <c r="H43" s="217"/>
      <c r="I43" s="1659"/>
      <c r="J43" s="1659"/>
      <c r="K43" s="1659"/>
      <c r="L43" s="215" t="s">
        <v>1193</v>
      </c>
      <c r="M43" s="215"/>
      <c r="N43" s="215"/>
      <c r="O43" s="236" t="s">
        <v>1194</v>
      </c>
    </row>
    <row r="44" spans="1:16" s="2" customFormat="1" ht="9" customHeight="1">
      <c r="A44" s="5"/>
      <c r="B44" s="1660"/>
      <c r="H44" s="5"/>
      <c r="I44" s="5"/>
      <c r="J44" s="5"/>
      <c r="O44" s="237"/>
    </row>
    <row r="45" spans="1:16" s="25" customFormat="1" ht="12.75">
      <c r="A45" s="382" t="s">
        <v>1195</v>
      </c>
      <c r="B45" s="3"/>
      <c r="C45" s="3"/>
      <c r="D45" s="3"/>
      <c r="E45" s="3"/>
      <c r="F45" s="3"/>
      <c r="G45" s="3"/>
      <c r="H45" s="3"/>
      <c r="I45" s="3"/>
      <c r="J45" s="3"/>
      <c r="K45" s="3"/>
      <c r="L45" s="3"/>
      <c r="M45" s="3"/>
      <c r="N45" s="3"/>
      <c r="O45" s="3"/>
    </row>
  </sheetData>
  <mergeCells count="3">
    <mergeCell ref="A5:B7"/>
    <mergeCell ref="A8:B10"/>
    <mergeCell ref="P9:P10"/>
  </mergeCells>
  <printOptions horizontalCentered="1" verticalCentered="1"/>
  <pageMargins left="0" right="0" top="0" bottom="0" header="0.3" footer="0.3"/>
  <pageSetup paperSize="9" scale="8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1" activePane="bottomLeft" state="frozen"/>
      <selection activeCell="B12" sqref="B12"/>
      <selection pane="bottomLeft" activeCell="A7" sqref="A7:B12"/>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1196</v>
      </c>
      <c r="B1" s="1586"/>
      <c r="C1" s="1586"/>
      <c r="D1" s="1586"/>
      <c r="E1" s="1586"/>
      <c r="F1" s="1586"/>
      <c r="G1" s="979"/>
      <c r="H1" s="979"/>
      <c r="I1" s="1586"/>
      <c r="J1" s="1586"/>
      <c r="K1" s="1586"/>
      <c r="L1" s="1586"/>
      <c r="M1" s="1586"/>
      <c r="N1" s="1586"/>
    </row>
    <row r="2" spans="1:14" ht="18">
      <c r="A2" s="978" t="s">
        <v>1197</v>
      </c>
      <c r="B2" s="1587"/>
      <c r="C2" s="1587"/>
      <c r="D2" s="1587"/>
      <c r="E2" s="1587"/>
      <c r="F2" s="1587"/>
      <c r="G2" s="1587"/>
      <c r="H2" s="1587"/>
      <c r="I2" s="1587"/>
      <c r="J2" s="1587"/>
      <c r="K2" s="1587"/>
      <c r="L2" s="1587"/>
      <c r="M2" s="1587"/>
      <c r="N2" s="1587"/>
    </row>
    <row r="3" spans="1:14">
      <c r="A3" s="976" t="s">
        <v>1198</v>
      </c>
      <c r="B3" s="976"/>
      <c r="C3" s="976"/>
      <c r="D3" s="976"/>
      <c r="E3" s="976"/>
      <c r="F3" s="976"/>
      <c r="G3" s="1588"/>
      <c r="H3" s="1588"/>
      <c r="I3" s="976"/>
      <c r="J3" s="976"/>
      <c r="K3" s="976"/>
      <c r="L3" s="976"/>
      <c r="M3" s="976"/>
      <c r="N3" s="976"/>
    </row>
    <row r="4" spans="1:14" ht="12" customHeight="1">
      <c r="A4" s="976"/>
      <c r="B4" s="976"/>
      <c r="C4" s="976"/>
      <c r="D4" s="976"/>
      <c r="E4" s="976"/>
      <c r="F4" s="976"/>
      <c r="G4" s="1588"/>
      <c r="H4" s="1588"/>
      <c r="I4" s="976"/>
      <c r="J4" s="976"/>
      <c r="K4" s="976"/>
      <c r="L4" s="976"/>
      <c r="M4" s="976"/>
      <c r="N4" s="976"/>
    </row>
    <row r="5" spans="1:14" ht="9" customHeight="1">
      <c r="A5" s="976"/>
      <c r="B5" s="976"/>
      <c r="C5" s="976"/>
      <c r="D5" s="976"/>
      <c r="E5" s="976"/>
      <c r="F5" s="976"/>
      <c r="G5" s="1588"/>
      <c r="H5" s="1588"/>
      <c r="I5" s="976"/>
      <c r="J5" s="976"/>
      <c r="K5" s="976"/>
      <c r="L5" s="976"/>
      <c r="M5" s="976"/>
      <c r="N5" s="976"/>
    </row>
    <row r="6" spans="1:14">
      <c r="A6" s="975" t="s">
        <v>373</v>
      </c>
      <c r="M6" s="746"/>
      <c r="N6" s="746" t="s">
        <v>374</v>
      </c>
    </row>
    <row r="7" spans="1:14" s="973" customFormat="1" ht="27" customHeight="1">
      <c r="A7" s="1291" t="s">
        <v>1199</v>
      </c>
      <c r="B7" s="1293"/>
      <c r="C7" s="1540" t="s">
        <v>1200</v>
      </c>
      <c r="D7" s="1540"/>
      <c r="E7" s="1540"/>
      <c r="F7" s="1540"/>
      <c r="G7" s="1291" t="s">
        <v>1201</v>
      </c>
      <c r="H7" s="1292"/>
      <c r="I7" s="1292"/>
      <c r="J7" s="1292"/>
      <c r="K7" s="1292"/>
      <c r="L7" s="1293"/>
      <c r="M7" s="1291" t="s">
        <v>1202</v>
      </c>
      <c r="N7" s="1293"/>
    </row>
    <row r="8" spans="1:14" s="973" customFormat="1" ht="27" customHeight="1">
      <c r="A8" s="1566"/>
      <c r="B8" s="1567"/>
      <c r="C8" s="1546" t="s">
        <v>1203</v>
      </c>
      <c r="D8" s="1546"/>
      <c r="E8" s="1546"/>
      <c r="F8" s="1546"/>
      <c r="G8" s="1589" t="s">
        <v>1204</v>
      </c>
      <c r="H8" s="1590"/>
      <c r="I8" s="1590"/>
      <c r="J8" s="1590"/>
      <c r="K8" s="1590"/>
      <c r="L8" s="1591"/>
      <c r="M8" s="1566"/>
      <c r="N8" s="1567"/>
    </row>
    <row r="9" spans="1:14" s="973" customFormat="1" ht="15.75" customHeight="1">
      <c r="A9" s="1566"/>
      <c r="B9" s="1567"/>
      <c r="C9" s="1291" t="s">
        <v>1205</v>
      </c>
      <c r="D9" s="1293"/>
      <c r="E9" s="1291" t="s">
        <v>1206</v>
      </c>
      <c r="F9" s="1293"/>
      <c r="G9" s="1291" t="s">
        <v>1207</v>
      </c>
      <c r="H9" s="1293"/>
      <c r="I9" s="1291" t="s">
        <v>1208</v>
      </c>
      <c r="J9" s="1293"/>
      <c r="K9" s="1291" t="s">
        <v>1209</v>
      </c>
      <c r="L9" s="1293"/>
      <c r="M9" s="1566" t="s">
        <v>1210</v>
      </c>
      <c r="N9" s="1567"/>
    </row>
    <row r="10" spans="1:14" s="1579" customFormat="1">
      <c r="A10" s="1566"/>
      <c r="B10" s="1567"/>
      <c r="C10" s="1294" t="s">
        <v>1211</v>
      </c>
      <c r="D10" s="1296"/>
      <c r="E10" s="1294" t="s">
        <v>1212</v>
      </c>
      <c r="F10" s="1296"/>
      <c r="G10" s="1592" t="s">
        <v>1213</v>
      </c>
      <c r="H10" s="1593"/>
      <c r="I10" s="1592" t="s">
        <v>1214</v>
      </c>
      <c r="J10" s="1593"/>
      <c r="K10" s="1592" t="s">
        <v>1215</v>
      </c>
      <c r="L10" s="1593"/>
      <c r="M10" s="1294"/>
      <c r="N10" s="1296"/>
    </row>
    <row r="11" spans="1:14" s="1579" customFormat="1" ht="15.75" customHeight="1">
      <c r="A11" s="1566"/>
      <c r="B11" s="1567"/>
      <c r="C11" s="1594" t="s">
        <v>1216</v>
      </c>
      <c r="D11" s="1595" t="s">
        <v>1217</v>
      </c>
      <c r="E11" s="1594" t="s">
        <v>1216</v>
      </c>
      <c r="F11" s="1595" t="s">
        <v>1217</v>
      </c>
      <c r="G11" s="1594" t="s">
        <v>1216</v>
      </c>
      <c r="H11" s="1595" t="s">
        <v>1217</v>
      </c>
      <c r="I11" s="1594" t="s">
        <v>1216</v>
      </c>
      <c r="J11" s="1595" t="s">
        <v>1217</v>
      </c>
      <c r="K11" s="1594" t="s">
        <v>1216</v>
      </c>
      <c r="L11" s="1595" t="s">
        <v>1217</v>
      </c>
      <c r="M11" s="1594" t="s">
        <v>1216</v>
      </c>
      <c r="N11" s="1595" t="s">
        <v>1217</v>
      </c>
    </row>
    <row r="12" spans="1:14" s="1579" customFormat="1">
      <c r="A12" s="1294"/>
      <c r="B12" s="1296"/>
      <c r="C12" s="1596" t="s">
        <v>1218</v>
      </c>
      <c r="D12" s="1597" t="s">
        <v>1219</v>
      </c>
      <c r="E12" s="1596" t="s">
        <v>1218</v>
      </c>
      <c r="F12" s="1597" t="s">
        <v>1219</v>
      </c>
      <c r="G12" s="1596" t="s">
        <v>1218</v>
      </c>
      <c r="H12" s="1597" t="s">
        <v>1219</v>
      </c>
      <c r="I12" s="1596" t="s">
        <v>1218</v>
      </c>
      <c r="J12" s="1597" t="s">
        <v>1219</v>
      </c>
      <c r="K12" s="1596" t="s">
        <v>1218</v>
      </c>
      <c r="L12" s="1597" t="s">
        <v>1219</v>
      </c>
      <c r="M12" s="1596" t="s">
        <v>1218</v>
      </c>
      <c r="N12" s="1597" t="s">
        <v>1219</v>
      </c>
    </row>
    <row r="13" spans="1:14" ht="21" customHeight="1">
      <c r="A13" s="1598">
        <v>2015</v>
      </c>
      <c r="B13" s="1599"/>
      <c r="C13" s="1600">
        <v>590999</v>
      </c>
      <c r="D13" s="1147">
        <v>15074.692910283002</v>
      </c>
      <c r="E13" s="1600">
        <v>103183</v>
      </c>
      <c r="F13" s="1147">
        <v>53503.828161632002</v>
      </c>
      <c r="G13" s="1147">
        <v>4881</v>
      </c>
      <c r="H13" s="1147">
        <v>1.4</v>
      </c>
      <c r="I13" s="1147">
        <v>179326</v>
      </c>
      <c r="J13" s="1147">
        <v>633.1</v>
      </c>
      <c r="K13" s="1147">
        <v>0</v>
      </c>
      <c r="L13" s="1147">
        <v>7.9999999999999996E-6</v>
      </c>
      <c r="M13" s="1146">
        <v>9271985</v>
      </c>
      <c r="N13" s="1147">
        <v>909.19894999999997</v>
      </c>
    </row>
    <row r="14" spans="1:14" ht="15.95" customHeight="1">
      <c r="A14" s="951">
        <v>2016</v>
      </c>
      <c r="B14" s="870"/>
      <c r="C14" s="1600">
        <v>232807</v>
      </c>
      <c r="D14" s="1147">
        <v>11144.820344103</v>
      </c>
      <c r="E14" s="1600">
        <v>64065</v>
      </c>
      <c r="F14" s="1147">
        <v>64772.22199427701</v>
      </c>
      <c r="G14" s="1146">
        <v>131548</v>
      </c>
      <c r="H14" s="1147">
        <v>35.700000000000003</v>
      </c>
      <c r="I14" s="1146">
        <v>2589591</v>
      </c>
      <c r="J14" s="1147">
        <v>7286.6</v>
      </c>
      <c r="K14" s="1146">
        <v>102758</v>
      </c>
      <c r="L14" s="1147">
        <v>12.5</v>
      </c>
      <c r="M14" s="1146">
        <v>11524588</v>
      </c>
      <c r="N14" s="1147">
        <v>1105.8463750000001</v>
      </c>
    </row>
    <row r="15" spans="1:14" ht="15.95" customHeight="1">
      <c r="A15" s="1598">
        <v>2017</v>
      </c>
      <c r="B15" s="1599"/>
      <c r="C15" s="1600">
        <v>204622</v>
      </c>
      <c r="D15" s="1147">
        <v>9134.1</v>
      </c>
      <c r="E15" s="1600">
        <v>45075</v>
      </c>
      <c r="F15" s="1147">
        <v>78021.100000000006</v>
      </c>
      <c r="G15" s="1146">
        <v>371841</v>
      </c>
      <c r="H15" s="1147">
        <v>87.6</v>
      </c>
      <c r="I15" s="1146">
        <v>4981026</v>
      </c>
      <c r="J15" s="1147">
        <v>9630.7999999999993</v>
      </c>
      <c r="K15" s="1146">
        <v>1244287</v>
      </c>
      <c r="L15" s="1147">
        <v>79</v>
      </c>
      <c r="M15" s="1146">
        <v>15158643</v>
      </c>
      <c r="N15" s="1147">
        <v>1429.6595</v>
      </c>
    </row>
    <row r="16" spans="1:14" ht="15.95" customHeight="1">
      <c r="A16" s="1145">
        <v>2018</v>
      </c>
      <c r="B16" s="870"/>
      <c r="C16" s="1600">
        <v>209671</v>
      </c>
      <c r="D16" s="1147">
        <v>9232.9</v>
      </c>
      <c r="E16" s="1600">
        <v>44592</v>
      </c>
      <c r="F16" s="1147">
        <v>81718.899999999994</v>
      </c>
      <c r="G16" s="1146">
        <v>962740</v>
      </c>
      <c r="H16" s="1147">
        <v>174.7</v>
      </c>
      <c r="I16" s="1146">
        <v>5831526</v>
      </c>
      <c r="J16" s="1147">
        <v>11159.1</v>
      </c>
      <c r="K16" s="1146">
        <v>1665110</v>
      </c>
      <c r="L16" s="1147">
        <v>133.1</v>
      </c>
      <c r="M16" s="1146">
        <v>17811102</v>
      </c>
      <c r="N16" s="1147">
        <v>1651.9018000000001</v>
      </c>
    </row>
    <row r="17" spans="1:15" ht="15.95" customHeight="1">
      <c r="A17" s="1145">
        <v>2019</v>
      </c>
      <c r="B17" s="870"/>
      <c r="C17" s="1600">
        <v>217703</v>
      </c>
      <c r="D17" s="1147">
        <v>9372.9</v>
      </c>
      <c r="E17" s="1600">
        <v>42223</v>
      </c>
      <c r="F17" s="1147">
        <v>85142.399999999994</v>
      </c>
      <c r="G17" s="1146">
        <v>6322911</v>
      </c>
      <c r="H17" s="1147">
        <v>542.86</v>
      </c>
      <c r="I17" s="1146">
        <v>7110816</v>
      </c>
      <c r="J17" s="1147">
        <v>12671.900000000001</v>
      </c>
      <c r="K17" s="1146">
        <v>1995920</v>
      </c>
      <c r="L17" s="1147">
        <v>291.5</v>
      </c>
      <c r="M17" s="1146">
        <v>19731651</v>
      </c>
      <c r="N17" s="1147">
        <v>1746.62482</v>
      </c>
    </row>
    <row r="18" spans="1:15" ht="15.95" customHeight="1">
      <c r="A18" s="1145">
        <v>2020</v>
      </c>
      <c r="B18" s="870"/>
      <c r="C18" s="1600">
        <v>243892</v>
      </c>
      <c r="D18" s="1147">
        <v>10593.5</v>
      </c>
      <c r="E18" s="1600">
        <v>36292</v>
      </c>
      <c r="F18" s="1147">
        <v>68026.247781167011</v>
      </c>
      <c r="G18" s="1146">
        <v>47247358</v>
      </c>
      <c r="H18" s="1147">
        <v>2237.8397709999999</v>
      </c>
      <c r="I18" s="1146">
        <v>8702806</v>
      </c>
      <c r="J18" s="1147">
        <v>13458.651462000002</v>
      </c>
      <c r="K18" s="1146">
        <v>4199985</v>
      </c>
      <c r="L18" s="1147">
        <v>465.04345800000004</v>
      </c>
      <c r="M18" s="1146">
        <v>18741958</v>
      </c>
      <c r="N18" s="1147">
        <v>1555.7394109999998</v>
      </c>
    </row>
    <row r="19" spans="1:15" ht="15.95" customHeight="1">
      <c r="A19" s="1145">
        <v>2021</v>
      </c>
      <c r="B19" s="870"/>
      <c r="C19" s="1600">
        <v>259105</v>
      </c>
      <c r="D19" s="1147">
        <v>9673.9172564569999</v>
      </c>
      <c r="E19" s="1600">
        <v>42705</v>
      </c>
      <c r="F19" s="1147">
        <v>83922.596094576002</v>
      </c>
      <c r="G19" s="1146">
        <v>141835256</v>
      </c>
      <c r="H19" s="1147">
        <v>4462.4831600739999</v>
      </c>
      <c r="I19" s="1146">
        <v>9681631</v>
      </c>
      <c r="J19" s="1147">
        <v>15378.309771431999</v>
      </c>
      <c r="K19" s="1146">
        <v>9140103</v>
      </c>
      <c r="L19" s="1147">
        <v>685.41474115000005</v>
      </c>
      <c r="M19" s="1146">
        <v>15758177</v>
      </c>
      <c r="N19" s="1147">
        <v>1419.5800263400001</v>
      </c>
    </row>
    <row r="20" spans="1:15" ht="15.95" customHeight="1">
      <c r="A20" s="1145">
        <v>2022</v>
      </c>
      <c r="B20" s="870"/>
      <c r="C20" s="1146">
        <v>266647</v>
      </c>
      <c r="D20" s="1147">
        <v>9706.1287400000001</v>
      </c>
      <c r="E20" s="1146">
        <v>43726</v>
      </c>
      <c r="F20" s="1147">
        <v>86241.370043746007</v>
      </c>
      <c r="G20" s="1146">
        <v>244925166</v>
      </c>
      <c r="H20" s="1147">
        <v>6149.5304039879993</v>
      </c>
      <c r="I20" s="1146">
        <v>10997227</v>
      </c>
      <c r="J20" s="1147">
        <v>18351.528233444998</v>
      </c>
      <c r="K20" s="1146">
        <v>11830039</v>
      </c>
      <c r="L20" s="1147">
        <v>913.24598615999992</v>
      </c>
      <c r="M20" s="1146">
        <v>14116744</v>
      </c>
      <c r="N20" s="1147">
        <v>1372.0853723799996</v>
      </c>
    </row>
    <row r="21" spans="1:15" ht="15.95" customHeight="1">
      <c r="A21" s="1145">
        <v>2023</v>
      </c>
      <c r="B21" s="870"/>
      <c r="C21" s="1146">
        <f t="shared" ref="C21:N21" si="0">SUM(C23:C26)</f>
        <v>314663</v>
      </c>
      <c r="D21" s="1147">
        <f t="shared" si="0"/>
        <v>9911.8071161419994</v>
      </c>
      <c r="E21" s="1146">
        <f t="shared" si="0"/>
        <v>48429</v>
      </c>
      <c r="F21" s="1147">
        <f t="shared" si="0"/>
        <v>104624.271310935</v>
      </c>
      <c r="G21" s="1146">
        <f t="shared" si="0"/>
        <v>338653902</v>
      </c>
      <c r="H21" s="1147">
        <f t="shared" si="0"/>
        <v>7404.1710555399995</v>
      </c>
      <c r="I21" s="1146">
        <f t="shared" si="0"/>
        <v>12520338</v>
      </c>
      <c r="J21" s="1147">
        <f t="shared" si="0"/>
        <v>20954.594999030003</v>
      </c>
      <c r="K21" s="1146">
        <f t="shared" si="0"/>
        <v>12913067</v>
      </c>
      <c r="L21" s="1147">
        <f t="shared" si="0"/>
        <v>1018.8718770519999</v>
      </c>
      <c r="M21" s="1146">
        <f t="shared" si="0"/>
        <v>12252664</v>
      </c>
      <c r="N21" s="1147">
        <f t="shared" si="0"/>
        <v>1220.7208868819998</v>
      </c>
    </row>
    <row r="22" spans="1:15" ht="15.95" customHeight="1">
      <c r="A22" s="1016">
        <v>2024</v>
      </c>
      <c r="B22" s="972"/>
      <c r="C22" s="1018">
        <f t="shared" ref="C22:N22" si="1">SUM(C27:C30)</f>
        <v>343019</v>
      </c>
      <c r="D22" s="1017">
        <f t="shared" si="1"/>
        <v>10915.129488564999</v>
      </c>
      <c r="E22" s="1321">
        <f t="shared" si="1"/>
        <v>52892</v>
      </c>
      <c r="F22" s="1017">
        <f t="shared" si="1"/>
        <v>128752.96331480799</v>
      </c>
      <c r="G22" s="1018">
        <f t="shared" si="1"/>
        <v>417952450</v>
      </c>
      <c r="H22" s="1017">
        <f t="shared" si="1"/>
        <v>8524.5287827329994</v>
      </c>
      <c r="I22" s="1018">
        <f t="shared" si="1"/>
        <v>13184829</v>
      </c>
      <c r="J22" s="1017">
        <f t="shared" si="1"/>
        <v>23582.536458832998</v>
      </c>
      <c r="K22" s="1018">
        <f t="shared" si="1"/>
        <v>12628131</v>
      </c>
      <c r="L22" s="1017">
        <f t="shared" si="1"/>
        <v>1157.4334616220001</v>
      </c>
      <c r="M22" s="1018">
        <f t="shared" si="1"/>
        <v>10117677</v>
      </c>
      <c r="N22" s="1017">
        <f t="shared" si="1"/>
        <v>1092.557499987</v>
      </c>
    </row>
    <row r="23" spans="1:15" ht="21" customHeight="1">
      <c r="A23" s="1145">
        <v>2023</v>
      </c>
      <c r="B23" s="870" t="s">
        <v>243</v>
      </c>
      <c r="C23" s="1146">
        <v>80812</v>
      </c>
      <c r="D23" s="1147">
        <v>2514.6999999999998</v>
      </c>
      <c r="E23" s="1146">
        <v>12589</v>
      </c>
      <c r="F23" s="1147">
        <v>25988.5</v>
      </c>
      <c r="G23" s="1146">
        <v>75958763</v>
      </c>
      <c r="H23" s="1147">
        <v>1731.6</v>
      </c>
      <c r="I23" s="1146">
        <v>3113895</v>
      </c>
      <c r="J23" s="1147">
        <v>5074.3</v>
      </c>
      <c r="K23" s="1146">
        <v>3142123</v>
      </c>
      <c r="L23" s="1147">
        <v>229.6</v>
      </c>
      <c r="M23" s="1146">
        <v>3243341</v>
      </c>
      <c r="N23" s="1147">
        <v>320.85000000000002</v>
      </c>
    </row>
    <row r="24" spans="1:15">
      <c r="A24" s="1145"/>
      <c r="B24" s="870" t="s">
        <v>244</v>
      </c>
      <c r="C24" s="1146">
        <v>75083</v>
      </c>
      <c r="D24" s="1147">
        <v>2458.6040138779999</v>
      </c>
      <c r="E24" s="1146">
        <v>11202</v>
      </c>
      <c r="F24" s="1147">
        <v>21269.575748889001</v>
      </c>
      <c r="G24" s="1146">
        <v>82279561</v>
      </c>
      <c r="H24" s="1147">
        <v>1861.674572636</v>
      </c>
      <c r="I24" s="1146">
        <v>3152063</v>
      </c>
      <c r="J24" s="1147">
        <v>5168.2047039139998</v>
      </c>
      <c r="K24" s="1146">
        <v>3147303</v>
      </c>
      <c r="L24" s="1147">
        <v>239.99948413699997</v>
      </c>
      <c r="M24" s="1146">
        <v>3215234</v>
      </c>
      <c r="N24" s="1147">
        <v>322.52999999999997</v>
      </c>
    </row>
    <row r="25" spans="1:15">
      <c r="A25" s="1145"/>
      <c r="B25" s="1129" t="s">
        <v>245</v>
      </c>
      <c r="C25" s="1601">
        <v>75305</v>
      </c>
      <c r="D25" s="1147">
        <v>2393.8974455890002</v>
      </c>
      <c r="E25" s="1602">
        <v>11939</v>
      </c>
      <c r="F25" s="1147">
        <v>26120.221250895003</v>
      </c>
      <c r="G25" s="1146">
        <v>83718682</v>
      </c>
      <c r="H25" s="1147">
        <v>1840.6197797079999</v>
      </c>
      <c r="I25" s="1146">
        <v>3007282</v>
      </c>
      <c r="J25" s="1147">
        <v>5124.5491154170004</v>
      </c>
      <c r="K25" s="1146">
        <v>3253285</v>
      </c>
      <c r="L25" s="1147">
        <v>265.27723278099995</v>
      </c>
      <c r="M25" s="1146">
        <v>2878334</v>
      </c>
      <c r="N25" s="1147">
        <v>288.72741814799997</v>
      </c>
    </row>
    <row r="26" spans="1:15">
      <c r="A26" s="1145"/>
      <c r="B26" s="870" t="s">
        <v>242</v>
      </c>
      <c r="C26" s="1146">
        <v>83463</v>
      </c>
      <c r="D26" s="1147">
        <v>2544.6056566749999</v>
      </c>
      <c r="E26" s="1146">
        <v>12699</v>
      </c>
      <c r="F26" s="1147">
        <v>31245.974311150996</v>
      </c>
      <c r="G26" s="1146">
        <v>96696896</v>
      </c>
      <c r="H26" s="1147">
        <v>1970.276703196</v>
      </c>
      <c r="I26" s="1146">
        <v>3247098</v>
      </c>
      <c r="J26" s="1147">
        <v>5587.5411796990002</v>
      </c>
      <c r="K26" s="1146">
        <v>3370356</v>
      </c>
      <c r="L26" s="1147">
        <v>283.995160134</v>
      </c>
      <c r="M26" s="1146">
        <v>2915755</v>
      </c>
      <c r="N26" s="1147">
        <v>288.61346873399998</v>
      </c>
    </row>
    <row r="27" spans="1:15" ht="21" customHeight="1">
      <c r="A27" s="1145">
        <v>2024</v>
      </c>
      <c r="B27" s="870" t="s">
        <v>243</v>
      </c>
      <c r="C27" s="1146">
        <f t="shared" ref="C27:N27" si="2">SUM(C32:C34)</f>
        <v>88446</v>
      </c>
      <c r="D27" s="1147">
        <f t="shared" si="2"/>
        <v>2850.5285121779998</v>
      </c>
      <c r="E27" s="1146">
        <f t="shared" si="2"/>
        <v>13806</v>
      </c>
      <c r="F27" s="1147">
        <f t="shared" si="2"/>
        <v>36835.478900438997</v>
      </c>
      <c r="G27" s="1146">
        <f t="shared" si="2"/>
        <v>97784062</v>
      </c>
      <c r="H27" s="1147">
        <f t="shared" si="2"/>
        <v>2072.5890987239995</v>
      </c>
      <c r="I27" s="1146">
        <f t="shared" si="2"/>
        <v>3273143</v>
      </c>
      <c r="J27" s="1147">
        <f t="shared" si="2"/>
        <v>5700.6797468260002</v>
      </c>
      <c r="K27" s="1146">
        <f t="shared" si="2"/>
        <v>3153113</v>
      </c>
      <c r="L27" s="1147">
        <f t="shared" si="2"/>
        <v>267.198772975</v>
      </c>
      <c r="M27" s="1146">
        <f t="shared" si="2"/>
        <v>2675675</v>
      </c>
      <c r="N27" s="1147">
        <f t="shared" si="2"/>
        <v>286.44944799499996</v>
      </c>
      <c r="O27" s="1216"/>
    </row>
    <row r="28" spans="1:15" ht="15" customHeight="1">
      <c r="A28" s="1145"/>
      <c r="B28" s="870" t="s">
        <v>244</v>
      </c>
      <c r="C28" s="1146">
        <f t="shared" ref="C28:N28" si="3">SUM(C35:C37)</f>
        <v>85274</v>
      </c>
      <c r="D28" s="1147">
        <f t="shared" si="3"/>
        <v>2562.693101804</v>
      </c>
      <c r="E28" s="1146">
        <f t="shared" si="3"/>
        <v>12427</v>
      </c>
      <c r="F28" s="1147">
        <f t="shared" si="3"/>
        <v>34632.986187149007</v>
      </c>
      <c r="G28" s="1146">
        <f t="shared" si="3"/>
        <v>102779219</v>
      </c>
      <c r="H28" s="1147">
        <f t="shared" si="3"/>
        <v>2137.1405942319998</v>
      </c>
      <c r="I28" s="1146">
        <f t="shared" si="3"/>
        <v>3244564</v>
      </c>
      <c r="J28" s="1147">
        <f t="shared" si="3"/>
        <v>5923.384359789</v>
      </c>
      <c r="K28" s="1146">
        <f t="shared" si="3"/>
        <v>3189165</v>
      </c>
      <c r="L28" s="1147">
        <f t="shared" si="3"/>
        <v>281.34991023400005</v>
      </c>
      <c r="M28" s="1146">
        <f t="shared" si="3"/>
        <v>2618708</v>
      </c>
      <c r="N28" s="1147">
        <f t="shared" si="3"/>
        <v>281.597654971</v>
      </c>
      <c r="O28" s="1216"/>
    </row>
    <row r="29" spans="1:15" ht="15" customHeight="1">
      <c r="A29" s="1145"/>
      <c r="B29" s="870" t="s">
        <v>245</v>
      </c>
      <c r="C29" s="1146">
        <f t="shared" ref="C29:N29" si="4">SUM(C38:C40)</f>
        <v>86209</v>
      </c>
      <c r="D29" s="1147">
        <f t="shared" si="4"/>
        <v>2577.2339150759999</v>
      </c>
      <c r="E29" s="1146">
        <f t="shared" si="4"/>
        <v>13421</v>
      </c>
      <c r="F29" s="1147">
        <f t="shared" si="4"/>
        <v>26689.236231955998</v>
      </c>
      <c r="G29" s="1146">
        <f t="shared" si="4"/>
        <v>102798122</v>
      </c>
      <c r="H29" s="1147">
        <f t="shared" si="4"/>
        <v>2103.1232203270001</v>
      </c>
      <c r="I29" s="1146">
        <f t="shared" si="4"/>
        <v>3251064</v>
      </c>
      <c r="J29" s="1147">
        <f t="shared" si="4"/>
        <v>5815.6138574750003</v>
      </c>
      <c r="K29" s="1146">
        <f t="shared" si="4"/>
        <v>3142266</v>
      </c>
      <c r="L29" s="1147">
        <f t="shared" si="4"/>
        <v>302.00083434999999</v>
      </c>
      <c r="M29" s="1146">
        <f t="shared" si="4"/>
        <v>2419327</v>
      </c>
      <c r="N29" s="1147">
        <f t="shared" si="4"/>
        <v>264.23229637300005</v>
      </c>
      <c r="O29" s="1216"/>
    </row>
    <row r="30" spans="1:15" ht="15" customHeight="1">
      <c r="A30" s="1016"/>
      <c r="B30" s="972" t="s">
        <v>242</v>
      </c>
      <c r="C30" s="1018">
        <f t="shared" ref="C30:N30" si="5">SUM(C41:C43)</f>
        <v>83090</v>
      </c>
      <c r="D30" s="1017">
        <f t="shared" si="5"/>
        <v>2924.6739595069998</v>
      </c>
      <c r="E30" s="1018">
        <f t="shared" si="5"/>
        <v>13238</v>
      </c>
      <c r="F30" s="1017">
        <f t="shared" si="5"/>
        <v>30595.261995263998</v>
      </c>
      <c r="G30" s="1018">
        <f t="shared" si="5"/>
        <v>114591047</v>
      </c>
      <c r="H30" s="1017">
        <f t="shared" si="5"/>
        <v>2211.6758694500004</v>
      </c>
      <c r="I30" s="1018">
        <f t="shared" si="5"/>
        <v>3416058</v>
      </c>
      <c r="J30" s="1017">
        <f t="shared" si="5"/>
        <v>6142.8584947430008</v>
      </c>
      <c r="K30" s="1018">
        <f t="shared" si="5"/>
        <v>3143587</v>
      </c>
      <c r="L30" s="1017">
        <f t="shared" si="5"/>
        <v>306.883944063</v>
      </c>
      <c r="M30" s="1018">
        <f t="shared" si="5"/>
        <v>2403967</v>
      </c>
      <c r="N30" s="1017">
        <f t="shared" si="5"/>
        <v>260.27810064799996</v>
      </c>
      <c r="O30" s="1216"/>
    </row>
    <row r="31" spans="1:15" ht="20.25" customHeight="1">
      <c r="A31" s="951">
        <v>2023</v>
      </c>
      <c r="B31" s="870" t="s">
        <v>426</v>
      </c>
      <c r="C31" s="1146">
        <v>26379</v>
      </c>
      <c r="D31" s="1147">
        <v>805.85059898300005</v>
      </c>
      <c r="E31" s="1146">
        <v>3923</v>
      </c>
      <c r="F31" s="1147">
        <v>10156.990568698997</v>
      </c>
      <c r="G31" s="1146">
        <v>33655936</v>
      </c>
      <c r="H31" s="1147">
        <v>680.11824404799995</v>
      </c>
      <c r="I31" s="1146">
        <v>1017877</v>
      </c>
      <c r="J31" s="1147">
        <v>1854.9066659800003</v>
      </c>
      <c r="K31" s="1146">
        <v>1072621</v>
      </c>
      <c r="L31" s="1147">
        <v>85.321921249000013</v>
      </c>
      <c r="M31" s="1146">
        <v>974979</v>
      </c>
      <c r="N31" s="1147">
        <v>97.79183218</v>
      </c>
    </row>
    <row r="32" spans="1:15" ht="21" customHeight="1">
      <c r="A32" s="951">
        <v>2024</v>
      </c>
      <c r="B32" s="870" t="s">
        <v>427</v>
      </c>
      <c r="C32" s="1146">
        <v>29546</v>
      </c>
      <c r="D32" s="1147">
        <v>1084.470149795</v>
      </c>
      <c r="E32" s="1146">
        <v>4770</v>
      </c>
      <c r="F32" s="1147">
        <v>12814.8</v>
      </c>
      <c r="G32" s="1146">
        <v>33131965</v>
      </c>
      <c r="H32" s="1147">
        <v>683.6</v>
      </c>
      <c r="I32" s="1146">
        <v>1162584</v>
      </c>
      <c r="J32" s="1147">
        <v>1981.5</v>
      </c>
      <c r="K32" s="1146">
        <v>1054575</v>
      </c>
      <c r="L32" s="1147">
        <v>105.408613281</v>
      </c>
      <c r="M32" s="1146">
        <v>929791</v>
      </c>
      <c r="N32" s="1147">
        <v>97.441589194999963</v>
      </c>
    </row>
    <row r="33" spans="1:20">
      <c r="A33" s="951"/>
      <c r="B33" s="870" t="s">
        <v>416</v>
      </c>
      <c r="C33" s="1146">
        <v>28761</v>
      </c>
      <c r="D33" s="1147">
        <v>897.73366421500009</v>
      </c>
      <c r="E33" s="1146">
        <v>4305</v>
      </c>
      <c r="F33" s="1147">
        <v>11963.124041421001</v>
      </c>
      <c r="G33" s="1146">
        <v>32342833</v>
      </c>
      <c r="H33" s="1147">
        <v>660</v>
      </c>
      <c r="I33" s="1146">
        <v>1058302</v>
      </c>
      <c r="J33" s="1147">
        <v>1767.8</v>
      </c>
      <c r="K33" s="1146">
        <v>1009377</v>
      </c>
      <c r="L33" s="1147">
        <v>83.866095276999999</v>
      </c>
      <c r="M33" s="1146">
        <v>851314</v>
      </c>
      <c r="N33" s="1147">
        <v>89.795286510999986</v>
      </c>
    </row>
    <row r="34" spans="1:20">
      <c r="A34" s="951"/>
      <c r="B34" s="870" t="s">
        <v>417</v>
      </c>
      <c r="C34" s="1146">
        <v>30139</v>
      </c>
      <c r="D34" s="1147">
        <v>868.32469816799994</v>
      </c>
      <c r="E34" s="1146">
        <v>4731</v>
      </c>
      <c r="F34" s="1147">
        <v>12057.554859017999</v>
      </c>
      <c r="G34" s="1146">
        <v>32309264</v>
      </c>
      <c r="H34" s="1147">
        <v>728.98909872399975</v>
      </c>
      <c r="I34" s="1146">
        <v>1052257</v>
      </c>
      <c r="J34" s="1147">
        <v>1951.3797468260002</v>
      </c>
      <c r="K34" s="1146">
        <v>1089161</v>
      </c>
      <c r="L34" s="1147">
        <v>77.924064416999997</v>
      </c>
      <c r="M34" s="1146">
        <v>894570</v>
      </c>
      <c r="N34" s="1147">
        <v>99.212572289000008</v>
      </c>
    </row>
    <row r="35" spans="1:20">
      <c r="A35" s="951"/>
      <c r="B35" s="870" t="s">
        <v>418</v>
      </c>
      <c r="C35" s="1146">
        <v>27562</v>
      </c>
      <c r="D35" s="1147">
        <v>809.93039164799995</v>
      </c>
      <c r="E35" s="1146">
        <v>3844</v>
      </c>
      <c r="F35" s="1147">
        <v>11445.058224559001</v>
      </c>
      <c r="G35" s="1146">
        <v>33059384</v>
      </c>
      <c r="H35" s="1147">
        <v>707.181199526</v>
      </c>
      <c r="I35" s="1146">
        <v>1165712</v>
      </c>
      <c r="J35" s="1147">
        <v>2206.2751262940001</v>
      </c>
      <c r="K35" s="1146">
        <v>1050063</v>
      </c>
      <c r="L35" s="1147">
        <v>104.95204416800001</v>
      </c>
      <c r="M35" s="1146">
        <v>881796</v>
      </c>
      <c r="N35" s="1147">
        <v>93.773857573000015</v>
      </c>
    </row>
    <row r="36" spans="1:20">
      <c r="A36" s="951"/>
      <c r="B36" s="870" t="s">
        <v>419</v>
      </c>
      <c r="C36" s="1146">
        <v>30144</v>
      </c>
      <c r="D36" s="1147">
        <v>960.40226526499998</v>
      </c>
      <c r="E36" s="1146">
        <v>4499</v>
      </c>
      <c r="F36" s="1147">
        <v>13714.193296101002</v>
      </c>
      <c r="G36" s="1146">
        <v>35738838</v>
      </c>
      <c r="H36" s="1147">
        <v>715.74121395799978</v>
      </c>
      <c r="I36" s="1146">
        <v>1057907</v>
      </c>
      <c r="J36" s="1147">
        <v>1884.4810044339997</v>
      </c>
      <c r="K36" s="1146">
        <v>1073720</v>
      </c>
      <c r="L36" s="1147">
        <v>86.518138473000008</v>
      </c>
      <c r="M36" s="1146">
        <v>879887</v>
      </c>
      <c r="N36" s="1147">
        <v>94.165610506000007</v>
      </c>
    </row>
    <row r="37" spans="1:20">
      <c r="A37" s="951"/>
      <c r="B37" s="870" t="s">
        <v>420</v>
      </c>
      <c r="C37" s="1146">
        <v>27568</v>
      </c>
      <c r="D37" s="1147">
        <v>792.36044489099993</v>
      </c>
      <c r="E37" s="1146">
        <v>4084</v>
      </c>
      <c r="F37" s="1147">
        <v>9473.734666489001</v>
      </c>
      <c r="G37" s="1146">
        <v>33980997</v>
      </c>
      <c r="H37" s="1147">
        <v>714.21818074800001</v>
      </c>
      <c r="I37" s="1146">
        <v>1020945</v>
      </c>
      <c r="J37" s="1147">
        <v>1832.628229061</v>
      </c>
      <c r="K37" s="1146">
        <v>1065382</v>
      </c>
      <c r="L37" s="1147">
        <v>89.879727593000013</v>
      </c>
      <c r="M37" s="1146">
        <v>857025</v>
      </c>
      <c r="N37" s="1147">
        <v>93.658186892000003</v>
      </c>
    </row>
    <row r="38" spans="1:20">
      <c r="A38" s="951"/>
      <c r="B38" s="870" t="s">
        <v>421</v>
      </c>
      <c r="C38" s="1146">
        <v>30686</v>
      </c>
      <c r="D38" s="1147">
        <v>904.01830711800005</v>
      </c>
      <c r="E38" s="1146">
        <v>4536</v>
      </c>
      <c r="F38" s="1147">
        <v>8574.0691708279992</v>
      </c>
      <c r="G38" s="1146">
        <v>33631297</v>
      </c>
      <c r="H38" s="1147">
        <v>709.724194926</v>
      </c>
      <c r="I38" s="1146">
        <v>1159375</v>
      </c>
      <c r="J38" s="1147">
        <v>2086.8136464049999</v>
      </c>
      <c r="K38" s="1146">
        <v>1043925</v>
      </c>
      <c r="L38" s="1147">
        <v>114.456511044</v>
      </c>
      <c r="M38" s="1146">
        <v>821916</v>
      </c>
      <c r="N38" s="1147">
        <v>91.277967280000013</v>
      </c>
    </row>
    <row r="39" spans="1:20">
      <c r="A39" s="951"/>
      <c r="B39" s="870" t="s">
        <v>422</v>
      </c>
      <c r="C39" s="1146">
        <v>27079</v>
      </c>
      <c r="D39" s="1147">
        <v>848.5059685409999</v>
      </c>
      <c r="E39" s="1146">
        <v>4384</v>
      </c>
      <c r="F39" s="1147">
        <v>8526.3737801810003</v>
      </c>
      <c r="G39" s="1146">
        <v>33902153</v>
      </c>
      <c r="H39" s="1147">
        <v>695.13014294300012</v>
      </c>
      <c r="I39" s="1146">
        <v>1017561</v>
      </c>
      <c r="J39" s="1147">
        <v>1817.7192354190004</v>
      </c>
      <c r="K39" s="1146">
        <v>973529</v>
      </c>
      <c r="L39" s="1147">
        <v>86.206137964000007</v>
      </c>
      <c r="M39" s="1146">
        <v>796652</v>
      </c>
      <c r="N39" s="1147">
        <v>87.486834349000006</v>
      </c>
    </row>
    <row r="40" spans="1:20">
      <c r="A40" s="951"/>
      <c r="B40" s="870" t="s">
        <v>423</v>
      </c>
      <c r="C40" s="1146">
        <v>28444</v>
      </c>
      <c r="D40" s="1147">
        <v>824.70963941700006</v>
      </c>
      <c r="E40" s="1146">
        <v>4501</v>
      </c>
      <c r="F40" s="1147">
        <v>9588.7932809470003</v>
      </c>
      <c r="G40" s="1146">
        <v>35264672</v>
      </c>
      <c r="H40" s="1147">
        <v>698.26888245800001</v>
      </c>
      <c r="I40" s="1146">
        <v>1074128</v>
      </c>
      <c r="J40" s="1147">
        <v>1911.0809756510002</v>
      </c>
      <c r="K40" s="1146">
        <v>1124812</v>
      </c>
      <c r="L40" s="1147">
        <v>101.33818534199999</v>
      </c>
      <c r="M40" s="1146">
        <v>800759</v>
      </c>
      <c r="N40" s="1147">
        <v>85.467494743999993</v>
      </c>
    </row>
    <row r="41" spans="1:20">
      <c r="A41" s="951"/>
      <c r="B41" s="870" t="s">
        <v>424</v>
      </c>
      <c r="C41" s="1146">
        <v>29210</v>
      </c>
      <c r="D41" s="1147">
        <v>1044.9186134669999</v>
      </c>
      <c r="E41" s="1146">
        <v>4731</v>
      </c>
      <c r="F41" s="1147">
        <v>11673.257625201</v>
      </c>
      <c r="G41" s="1146">
        <v>38232829</v>
      </c>
      <c r="H41" s="1147">
        <v>738.3417145730001</v>
      </c>
      <c r="I41" s="1146">
        <v>1243478</v>
      </c>
      <c r="J41" s="1147">
        <v>2081.7814196189997</v>
      </c>
      <c r="K41" s="1146">
        <v>1097068</v>
      </c>
      <c r="L41" s="1147">
        <v>113.12645213100001</v>
      </c>
      <c r="M41" s="1146">
        <v>834936</v>
      </c>
      <c r="N41" s="1147">
        <v>89.779847202999989</v>
      </c>
    </row>
    <row r="42" spans="1:20">
      <c r="A42" s="951"/>
      <c r="B42" s="870" t="s">
        <v>425</v>
      </c>
      <c r="C42" s="1146">
        <v>24355</v>
      </c>
      <c r="D42" s="1147">
        <v>782.481437648</v>
      </c>
      <c r="E42" s="1146">
        <v>3979</v>
      </c>
      <c r="F42" s="1147">
        <v>9040.6888784199982</v>
      </c>
      <c r="G42" s="1146">
        <v>37296217</v>
      </c>
      <c r="H42" s="1147">
        <v>711.53645933600012</v>
      </c>
      <c r="I42" s="1146">
        <v>1016828</v>
      </c>
      <c r="J42" s="1147">
        <v>1826.7585306830001</v>
      </c>
      <c r="K42" s="1146">
        <v>964103</v>
      </c>
      <c r="L42" s="1147">
        <v>88.591265105000005</v>
      </c>
      <c r="M42" s="1146">
        <v>778529</v>
      </c>
      <c r="N42" s="1147">
        <v>83.403949932999993</v>
      </c>
    </row>
    <row r="43" spans="1:20">
      <c r="A43" s="951"/>
      <c r="B43" s="870" t="s">
        <v>426</v>
      </c>
      <c r="C43" s="1146">
        <v>29525</v>
      </c>
      <c r="D43" s="1147">
        <v>1097.2739083920001</v>
      </c>
      <c r="E43" s="1146">
        <v>4528</v>
      </c>
      <c r="F43" s="1147">
        <v>9881.3154916429994</v>
      </c>
      <c r="G43" s="1146">
        <v>39062001</v>
      </c>
      <c r="H43" s="1147">
        <v>761.79769554100017</v>
      </c>
      <c r="I43" s="1146">
        <v>1155752</v>
      </c>
      <c r="J43" s="1147">
        <v>2234.3185444410005</v>
      </c>
      <c r="K43" s="1146">
        <v>1082416</v>
      </c>
      <c r="L43" s="1147">
        <v>105.16622682700002</v>
      </c>
      <c r="M43" s="1146">
        <v>790502</v>
      </c>
      <c r="N43" s="1147">
        <v>87.094303511999982</v>
      </c>
    </row>
    <row r="44" spans="1:20" s="1605" customFormat="1" ht="20.25" customHeight="1">
      <c r="A44" s="1603" t="s">
        <v>1220</v>
      </c>
      <c r="B44" s="1603"/>
      <c r="C44" s="1603"/>
      <c r="D44" s="1603"/>
      <c r="E44" s="1603"/>
      <c r="F44" s="1603"/>
      <c r="G44" s="1603"/>
      <c r="H44" s="1603"/>
      <c r="I44" s="1604"/>
      <c r="J44" s="1604"/>
      <c r="K44" s="1604"/>
      <c r="L44" s="1604"/>
      <c r="M44" s="1585"/>
      <c r="N44" s="1585" t="s">
        <v>1221</v>
      </c>
      <c r="T44" s="1606"/>
    </row>
    <row r="45" spans="1:20">
      <c r="A45" s="1535" t="s">
        <v>1222</v>
      </c>
      <c r="B45" s="1574"/>
      <c r="C45" s="1574"/>
      <c r="D45" s="1574"/>
      <c r="E45" s="1574"/>
      <c r="F45" s="1574"/>
      <c r="M45" s="1607"/>
      <c r="N45" s="1607" t="s">
        <v>1223</v>
      </c>
    </row>
    <row r="46" spans="1:20">
      <c r="A46" s="1535" t="s">
        <v>1754</v>
      </c>
      <c r="B46" s="1574"/>
      <c r="C46" s="1574"/>
      <c r="D46" s="1574"/>
      <c r="E46" s="1574"/>
      <c r="F46" s="1574"/>
      <c r="G46" s="1608"/>
      <c r="H46" s="1608"/>
      <c r="I46" s="1609"/>
      <c r="J46" s="1609"/>
      <c r="K46" s="1609"/>
      <c r="L46" s="1609"/>
      <c r="M46" s="1607"/>
      <c r="N46" s="1607" t="s">
        <v>1224</v>
      </c>
    </row>
    <row r="47" spans="1:20">
      <c r="A47" s="1535" t="s">
        <v>1755</v>
      </c>
      <c r="B47" s="1574"/>
      <c r="C47" s="1574"/>
      <c r="D47" s="1574"/>
      <c r="E47" s="1574"/>
      <c r="F47" s="1574"/>
      <c r="M47" s="1607"/>
      <c r="N47" s="1607" t="s">
        <v>1756</v>
      </c>
    </row>
    <row r="48" spans="1:20">
      <c r="A48" s="1535" t="s">
        <v>1225</v>
      </c>
    </row>
    <row r="49" spans="1:14">
      <c r="A49" s="1535" t="s">
        <v>1226</v>
      </c>
      <c r="B49" s="1574"/>
      <c r="C49" s="1574"/>
      <c r="D49" s="1574"/>
      <c r="E49" s="1574"/>
      <c r="F49" s="1574"/>
      <c r="M49" s="1607"/>
      <c r="N49" s="1607" t="s">
        <v>1227</v>
      </c>
    </row>
    <row r="50" spans="1:14">
      <c r="G50" s="1610"/>
      <c r="H50" s="1610"/>
      <c r="I50" s="1610"/>
      <c r="J50" s="1610"/>
      <c r="K50" s="1610"/>
      <c r="L50" s="1610"/>
    </row>
    <row r="51" spans="1:14">
      <c r="A51" s="1560" t="s">
        <v>1228</v>
      </c>
      <c r="B51" s="1560"/>
      <c r="C51" s="1609"/>
      <c r="D51" s="1609"/>
      <c r="E51" s="1560"/>
      <c r="F51" s="1560"/>
      <c r="G51" s="1560"/>
      <c r="H51" s="1560"/>
      <c r="I51" s="1560"/>
      <c r="J51" s="1560"/>
      <c r="K51" s="1560"/>
      <c r="L51" s="1560"/>
      <c r="M51" s="1611"/>
      <c r="N51" s="1611"/>
    </row>
    <row r="52" spans="1:14">
      <c r="M52" s="1612"/>
      <c r="N52" s="1612"/>
    </row>
    <row r="53" spans="1:14">
      <c r="C53" s="1610"/>
      <c r="D53" s="1610"/>
    </row>
    <row r="54" spans="1:14">
      <c r="C54" s="1610"/>
      <c r="D54" s="1610"/>
    </row>
  </sheetData>
  <mergeCells count="19">
    <mergeCell ref="A15:B15"/>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16" activePane="bottomLeft" state="frozen"/>
      <selection activeCell="B12" sqref="B12"/>
      <selection pane="bottomLeft" activeCell="J26" sqref="J26"/>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1575" t="s">
        <v>1229</v>
      </c>
      <c r="B1" s="1575"/>
      <c r="C1" s="1575"/>
      <c r="D1" s="1575"/>
      <c r="E1" s="1575"/>
      <c r="F1" s="1575"/>
      <c r="G1" s="1575"/>
      <c r="H1" s="1575"/>
      <c r="I1" s="1575"/>
      <c r="J1" s="1575"/>
      <c r="K1" s="1575"/>
      <c r="L1" s="1575"/>
    </row>
    <row r="2" spans="1:12" ht="18" customHeight="1">
      <c r="A2" s="1576" t="s">
        <v>80</v>
      </c>
      <c r="B2" s="1576"/>
      <c r="C2" s="1576"/>
      <c r="D2" s="1576"/>
      <c r="E2" s="1576"/>
      <c r="F2" s="1576"/>
      <c r="G2" s="1576"/>
      <c r="H2" s="1576"/>
      <c r="I2" s="1576"/>
      <c r="J2" s="1576"/>
      <c r="K2" s="1576"/>
      <c r="L2" s="1576"/>
    </row>
    <row r="3" spans="1:12">
      <c r="A3" s="1577" t="s">
        <v>79</v>
      </c>
      <c r="B3" s="1577"/>
      <c r="C3" s="1577"/>
      <c r="D3" s="1577"/>
      <c r="E3" s="1577"/>
      <c r="F3" s="1577"/>
      <c r="G3" s="1577"/>
      <c r="H3" s="1577"/>
      <c r="I3" s="1577"/>
      <c r="J3" s="1577"/>
      <c r="K3" s="1577"/>
      <c r="L3" s="1577"/>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1578" t="s">
        <v>1199</v>
      </c>
      <c r="B9" s="1578"/>
      <c r="C9" s="1291" t="s">
        <v>1230</v>
      </c>
      <c r="D9" s="1292"/>
      <c r="E9" s="1291" t="s">
        <v>1231</v>
      </c>
      <c r="F9" s="1292"/>
      <c r="G9" s="1292"/>
      <c r="H9" s="1292"/>
      <c r="I9" s="1540" t="s">
        <v>1232</v>
      </c>
      <c r="J9" s="1540"/>
      <c r="K9" s="1540" t="s">
        <v>1233</v>
      </c>
      <c r="L9" s="1540"/>
    </row>
    <row r="10" spans="1:12" s="973" customFormat="1">
      <c r="A10" s="1578"/>
      <c r="B10" s="1578"/>
      <c r="C10" s="1294" t="s">
        <v>1234</v>
      </c>
      <c r="D10" s="1295"/>
      <c r="E10" s="1294" t="s">
        <v>1235</v>
      </c>
      <c r="F10" s="1295"/>
      <c r="G10" s="1295"/>
      <c r="H10" s="1295"/>
      <c r="I10" s="1546" t="s">
        <v>1236</v>
      </c>
      <c r="J10" s="1546"/>
      <c r="K10" s="1546" t="s">
        <v>1237</v>
      </c>
      <c r="L10" s="1546"/>
    </row>
    <row r="11" spans="1:12" s="973" customFormat="1" ht="47.25">
      <c r="A11" s="1578"/>
      <c r="B11" s="1578"/>
      <c r="C11" s="944" t="s">
        <v>1216</v>
      </c>
      <c r="D11" s="944" t="s">
        <v>1238</v>
      </c>
      <c r="E11" s="944" t="s">
        <v>1216</v>
      </c>
      <c r="F11" s="944" t="s">
        <v>1239</v>
      </c>
      <c r="G11" s="944" t="s">
        <v>1238</v>
      </c>
      <c r="H11" s="944" t="s">
        <v>1240</v>
      </c>
      <c r="I11" s="944" t="s">
        <v>1216</v>
      </c>
      <c r="J11" s="944" t="s">
        <v>1238</v>
      </c>
      <c r="K11" s="944" t="s">
        <v>1216</v>
      </c>
      <c r="L11" s="944" t="s">
        <v>1238</v>
      </c>
    </row>
    <row r="12" spans="1:12" s="1579" customFormat="1" ht="47.25">
      <c r="A12" s="1578"/>
      <c r="B12" s="1578"/>
      <c r="C12" s="974" t="s">
        <v>1218</v>
      </c>
      <c r="D12" s="974" t="s">
        <v>1241</v>
      </c>
      <c r="E12" s="974" t="s">
        <v>1218</v>
      </c>
      <c r="F12" s="974" t="s">
        <v>1242</v>
      </c>
      <c r="G12" s="974" t="s">
        <v>1241</v>
      </c>
      <c r="H12" s="974" t="s">
        <v>1242</v>
      </c>
      <c r="I12" s="974" t="s">
        <v>1218</v>
      </c>
      <c r="J12" s="974" t="s">
        <v>1241</v>
      </c>
      <c r="K12" s="974" t="s">
        <v>1218</v>
      </c>
      <c r="L12" s="974" t="s">
        <v>1241</v>
      </c>
    </row>
    <row r="13" spans="1:12" s="1579" customFormat="1" hidden="1">
      <c r="A13" s="1580">
        <v>2015</v>
      </c>
      <c r="B13" s="1581"/>
      <c r="C13" s="987">
        <v>3372471</v>
      </c>
      <c r="D13" s="987">
        <v>10479.285891078001</v>
      </c>
      <c r="E13" s="987">
        <v>84944</v>
      </c>
      <c r="F13" s="987">
        <v>2.5187466400748888E-2</v>
      </c>
      <c r="G13" s="987">
        <v>254</v>
      </c>
      <c r="H13" s="987">
        <v>2.4238292822629643E-2</v>
      </c>
      <c r="I13" s="987">
        <v>17080</v>
      </c>
      <c r="J13" s="987">
        <v>74.2</v>
      </c>
      <c r="K13" s="987">
        <v>67864</v>
      </c>
      <c r="L13" s="987">
        <v>179.8</v>
      </c>
    </row>
    <row r="14" spans="1:12" ht="21" customHeight="1">
      <c r="A14" s="951">
        <v>2016</v>
      </c>
      <c r="B14" s="1141"/>
      <c r="C14" s="1142">
        <v>3303295</v>
      </c>
      <c r="D14" s="1143">
        <v>10087.672788426</v>
      </c>
      <c r="E14" s="827">
        <v>88416</v>
      </c>
      <c r="F14" s="1144">
        <f>E14/C14</f>
        <v>2.6766001825450043E-2</v>
      </c>
      <c r="G14" s="1122">
        <v>294.89999999999998</v>
      </c>
      <c r="H14" s="1144">
        <f>G14/D14</f>
        <v>2.9233700000494744E-2</v>
      </c>
      <c r="I14" s="827">
        <v>16257</v>
      </c>
      <c r="J14" s="1122">
        <v>76.900000000000006</v>
      </c>
      <c r="K14" s="827">
        <v>72159</v>
      </c>
      <c r="L14" s="1122">
        <v>218</v>
      </c>
    </row>
    <row r="15" spans="1:12" ht="14.25" customHeight="1">
      <c r="A15" s="951">
        <v>2017</v>
      </c>
      <c r="B15" s="1141"/>
      <c r="C15" s="1142">
        <v>3300941</v>
      </c>
      <c r="D15" s="1143">
        <v>10058.5</v>
      </c>
      <c r="E15" s="827">
        <v>105111</v>
      </c>
      <c r="F15" s="1144">
        <v>3.1842738176780502E-2</v>
      </c>
      <c r="G15" s="1122">
        <v>369.79999999999995</v>
      </c>
      <c r="H15" s="1144">
        <v>3.6764925187652231E-2</v>
      </c>
      <c r="I15" s="827">
        <v>21042</v>
      </c>
      <c r="J15" s="1122">
        <v>139.19999999999999</v>
      </c>
      <c r="K15" s="827">
        <v>84069</v>
      </c>
      <c r="L15" s="1122">
        <v>230.6</v>
      </c>
    </row>
    <row r="16" spans="1:12" ht="14.25" customHeight="1">
      <c r="A16" s="951">
        <v>2018</v>
      </c>
      <c r="B16" s="1141"/>
      <c r="C16" s="1142">
        <v>3166987</v>
      </c>
      <c r="D16" s="1143">
        <v>9472.1</v>
      </c>
      <c r="E16" s="827">
        <v>99961</v>
      </c>
      <c r="F16" s="1144">
        <v>3.1563438687939038E-2</v>
      </c>
      <c r="G16" s="1122">
        <v>318.39999999999998</v>
      </c>
      <c r="H16" s="1144">
        <v>3.3614509981946976E-2</v>
      </c>
      <c r="I16" s="827">
        <v>20836</v>
      </c>
      <c r="J16" s="1122">
        <v>66.7</v>
      </c>
      <c r="K16" s="827">
        <v>79125</v>
      </c>
      <c r="L16" s="1122">
        <v>251.7</v>
      </c>
    </row>
    <row r="17" spans="1:14" ht="14.25" customHeight="1">
      <c r="A17" s="951">
        <v>2019</v>
      </c>
      <c r="B17" s="1141"/>
      <c r="C17" s="1142">
        <v>2964508</v>
      </c>
      <c r="D17" s="1143">
        <v>8737.7999999999993</v>
      </c>
      <c r="E17" s="827">
        <v>92571</v>
      </c>
      <c r="F17" s="1144">
        <v>3.1226429478348514E-2</v>
      </c>
      <c r="G17" s="1122">
        <v>252.5</v>
      </c>
      <c r="H17" s="1144">
        <v>2.8897434136739227E-2</v>
      </c>
      <c r="I17" s="827">
        <v>19039</v>
      </c>
      <c r="J17" s="1122">
        <v>59.9</v>
      </c>
      <c r="K17" s="827">
        <v>73532</v>
      </c>
      <c r="L17" s="1122">
        <v>192.20000000000002</v>
      </c>
    </row>
    <row r="18" spans="1:14" ht="14.25" customHeight="1">
      <c r="A18" s="951">
        <v>2020</v>
      </c>
      <c r="B18" s="1141"/>
      <c r="C18" s="1142">
        <v>2331423</v>
      </c>
      <c r="D18" s="1143">
        <v>7266.4000000000005</v>
      </c>
      <c r="E18" s="827">
        <v>63668</v>
      </c>
      <c r="F18" s="1144">
        <v>2.7308643690999015E-2</v>
      </c>
      <c r="G18" s="1122">
        <v>195.49999999999997</v>
      </c>
      <c r="H18" s="1144">
        <v>2.6904657051634917E-2</v>
      </c>
      <c r="I18" s="827">
        <v>13509</v>
      </c>
      <c r="J18" s="1122">
        <v>53</v>
      </c>
      <c r="K18" s="827">
        <v>50159</v>
      </c>
      <c r="L18" s="1122">
        <v>142.5</v>
      </c>
    </row>
    <row r="19" spans="1:14" ht="14.25" customHeight="1">
      <c r="A19" s="951">
        <v>2021</v>
      </c>
      <c r="B19" s="1141"/>
      <c r="C19" s="1142">
        <v>2175075</v>
      </c>
      <c r="D19" s="1143">
        <v>7254.7903695710011</v>
      </c>
      <c r="E19" s="827">
        <v>56047</v>
      </c>
      <c r="F19" s="1144">
        <v>2.7308643690999015E-2</v>
      </c>
      <c r="G19" s="1122">
        <v>242.183039342</v>
      </c>
      <c r="H19" s="1144">
        <v>2.6904657051634917E-2</v>
      </c>
      <c r="I19" s="827">
        <v>11426</v>
      </c>
      <c r="J19" s="1122">
        <v>93.595895901999995</v>
      </c>
      <c r="K19" s="827">
        <v>44621</v>
      </c>
      <c r="L19" s="1122">
        <v>148.71194344</v>
      </c>
    </row>
    <row r="20" spans="1:14" ht="14.25" customHeight="1">
      <c r="A20" s="951">
        <v>2022</v>
      </c>
      <c r="B20" s="1141"/>
      <c r="C20" s="1142">
        <v>2117536</v>
      </c>
      <c r="D20" s="1143">
        <v>7450.8159090409999</v>
      </c>
      <c r="E20" s="827">
        <v>55010</v>
      </c>
      <c r="F20" s="1144">
        <v>2.7308643690999015E-2</v>
      </c>
      <c r="G20" s="1122">
        <v>231.46888278699998</v>
      </c>
      <c r="H20" s="1144">
        <v>2.6904657051634917E-2</v>
      </c>
      <c r="I20" s="827">
        <v>10293</v>
      </c>
      <c r="J20" s="1122">
        <v>99.525927682000003</v>
      </c>
      <c r="K20" s="827">
        <v>44717</v>
      </c>
      <c r="L20" s="1122">
        <v>131.92682510499998</v>
      </c>
    </row>
    <row r="21" spans="1:14" ht="14.25" customHeight="1">
      <c r="A21" s="951">
        <v>2023</v>
      </c>
      <c r="B21" s="1141"/>
      <c r="C21" s="1142">
        <f>SUM(C23:C26)</f>
        <v>2035716</v>
      </c>
      <c r="D21" s="1143">
        <f>SUM(D23:D26)</f>
        <v>7039.9412698570004</v>
      </c>
      <c r="E21" s="827">
        <f>SUM(E23:E26)</f>
        <v>56777</v>
      </c>
      <c r="F21" s="1144">
        <v>2.7308643690999015E-2</v>
      </c>
      <c r="G21" s="1122">
        <f>SUM(G23:G26)</f>
        <v>361.26904253600003</v>
      </c>
      <c r="H21" s="1144">
        <v>2.6904657051634917E-2</v>
      </c>
      <c r="I21" s="827">
        <f>SUM(I23:I26)</f>
        <v>12166</v>
      </c>
      <c r="J21" s="1122">
        <f>SUM(J23:J26)</f>
        <v>173.856249375</v>
      </c>
      <c r="K21" s="827">
        <f>SUM(K23:K26)</f>
        <v>44611</v>
      </c>
      <c r="L21" s="1122">
        <f>SUM(L23:L26)</f>
        <v>187.34384906</v>
      </c>
    </row>
    <row r="22" spans="1:14" ht="14.25" customHeight="1">
      <c r="A22" s="971">
        <v>2024</v>
      </c>
      <c r="B22" s="1011"/>
      <c r="C22" s="1012">
        <f>SUM(C27:C30)</f>
        <v>1923263</v>
      </c>
      <c r="D22" s="1013">
        <f>SUM(D27:D30)</f>
        <v>6552.4478915069994</v>
      </c>
      <c r="E22" s="1319">
        <f>SUM(E27:E30)</f>
        <v>45900</v>
      </c>
      <c r="F22" s="1014">
        <v>2.7308643690999015E-2</v>
      </c>
      <c r="G22" s="1015">
        <f>SUM(G27:G30)</f>
        <v>224.55367195800002</v>
      </c>
      <c r="H22" s="1014">
        <v>2.6904657051634917E-2</v>
      </c>
      <c r="I22" s="947">
        <f>SUM(I27:I30)</f>
        <v>9800</v>
      </c>
      <c r="J22" s="1015">
        <f>SUM(J27:J30)</f>
        <v>50.385771542000001</v>
      </c>
      <c r="K22" s="947">
        <f>SUM(K27:K30)</f>
        <v>36100</v>
      </c>
      <c r="L22" s="1015">
        <f>SUM(L27:L30)</f>
        <v>174.18008676299999</v>
      </c>
      <c r="M22" s="1582"/>
      <c r="N22" s="1582"/>
    </row>
    <row r="23" spans="1:14" ht="21" customHeight="1">
      <c r="A23" s="951">
        <v>2023</v>
      </c>
      <c r="B23" s="1141" t="s">
        <v>243</v>
      </c>
      <c r="C23" s="827">
        <v>528874</v>
      </c>
      <c r="D23" s="1122">
        <v>1806.3000000000002</v>
      </c>
      <c r="E23" s="827">
        <v>15153</v>
      </c>
      <c r="F23" s="1144">
        <v>2.8651436826162752E-2</v>
      </c>
      <c r="G23" s="1122">
        <v>61.254000000000005</v>
      </c>
      <c r="H23" s="1144">
        <v>3.3911310413552567E-2</v>
      </c>
      <c r="I23" s="827">
        <v>3333</v>
      </c>
      <c r="J23" s="1122">
        <v>13.25</v>
      </c>
      <c r="K23" s="827">
        <v>11820</v>
      </c>
      <c r="L23" s="1122">
        <v>48</v>
      </c>
      <c r="M23" s="1582"/>
      <c r="N23" s="1582"/>
    </row>
    <row r="24" spans="1:14">
      <c r="A24" s="951"/>
      <c r="B24" s="1141" t="s">
        <v>244</v>
      </c>
      <c r="C24" s="827">
        <v>503265</v>
      </c>
      <c r="D24" s="1122">
        <v>1812.6000000000001</v>
      </c>
      <c r="E24" s="827">
        <v>14051</v>
      </c>
      <c r="F24" s="1144">
        <v>2.7919684460473111E-2</v>
      </c>
      <c r="G24" s="1122">
        <v>80.850000000000009</v>
      </c>
      <c r="H24" s="1144">
        <v>4.4604435617345249E-2</v>
      </c>
      <c r="I24" s="827">
        <v>3115</v>
      </c>
      <c r="J24" s="1122">
        <v>12.299999999999999</v>
      </c>
      <c r="K24" s="827">
        <v>10936</v>
      </c>
      <c r="L24" s="1122">
        <v>68.55</v>
      </c>
      <c r="M24" s="1582"/>
      <c r="N24" s="1582"/>
    </row>
    <row r="25" spans="1:14">
      <c r="A25" s="951"/>
      <c r="B25" s="1583" t="s">
        <v>245</v>
      </c>
      <c r="C25" s="1201">
        <v>486300</v>
      </c>
      <c r="D25" s="1122">
        <v>1721.7385389789999</v>
      </c>
      <c r="E25" s="1134">
        <v>14124</v>
      </c>
      <c r="F25" s="1144">
        <v>2.904380012338063E-2</v>
      </c>
      <c r="G25" s="1122">
        <v>165.07300000000001</v>
      </c>
      <c r="H25" s="1144">
        <v>9.5875765258695539E-2</v>
      </c>
      <c r="I25" s="827">
        <v>2822</v>
      </c>
      <c r="J25" s="1122">
        <v>132.15</v>
      </c>
      <c r="K25" s="827">
        <v>11302</v>
      </c>
      <c r="L25" s="1122">
        <v>32.92</v>
      </c>
      <c r="M25" s="1582"/>
      <c r="N25" s="1582"/>
    </row>
    <row r="26" spans="1:14">
      <c r="A26" s="951"/>
      <c r="B26" s="1141" t="s">
        <v>242</v>
      </c>
      <c r="C26" s="827">
        <v>517277</v>
      </c>
      <c r="D26" s="1122">
        <v>1699.3027308779999</v>
      </c>
      <c r="E26" s="827">
        <v>13449</v>
      </c>
      <c r="F26" s="1144">
        <v>2.5999609493559544E-2</v>
      </c>
      <c r="G26" s="1122">
        <v>54.092042536000008</v>
      </c>
      <c r="H26" s="1144">
        <v>3.183190467071844E-2</v>
      </c>
      <c r="I26" s="827">
        <v>2896</v>
      </c>
      <c r="J26" s="1122">
        <v>16.156249375000002</v>
      </c>
      <c r="K26" s="827">
        <v>10553</v>
      </c>
      <c r="L26" s="1122">
        <v>37.873849059999998</v>
      </c>
      <c r="M26" s="1582"/>
      <c r="N26" s="1582"/>
    </row>
    <row r="27" spans="1:14" ht="21" customHeight="1">
      <c r="A27" s="951">
        <v>2024</v>
      </c>
      <c r="B27" s="1141" t="s">
        <v>243</v>
      </c>
      <c r="C27" s="827">
        <f>SUM(C32:C34)</f>
        <v>491998</v>
      </c>
      <c r="D27" s="1122">
        <f>SUM(D32:D34)</f>
        <v>1639.909572609</v>
      </c>
      <c r="E27" s="827">
        <f>SUM(E32:E34)</f>
        <v>11833</v>
      </c>
      <c r="F27" s="1144">
        <f>E27/C27</f>
        <v>2.4050910776060065E-2</v>
      </c>
      <c r="G27" s="1122">
        <f>SUM(G32:G34)</f>
        <v>52.461493665000006</v>
      </c>
      <c r="H27" s="1144">
        <f>G27/D27</f>
        <v>3.1990479561343647E-2</v>
      </c>
      <c r="I27" s="827">
        <f>SUM(I32:I34)</f>
        <v>2563</v>
      </c>
      <c r="J27" s="1122">
        <f>SUM(J32:J34)</f>
        <v>11.129733685</v>
      </c>
      <c r="K27" s="827">
        <f>SUM(K32:K34)</f>
        <v>9270</v>
      </c>
      <c r="L27" s="1122">
        <f>SUM(L32:L34)</f>
        <v>41.363946327000001</v>
      </c>
      <c r="M27" s="1582"/>
      <c r="N27" s="1582"/>
    </row>
    <row r="28" spans="1:14" ht="15" customHeight="1">
      <c r="A28" s="951"/>
      <c r="B28" s="1141" t="s">
        <v>244</v>
      </c>
      <c r="C28" s="827">
        <f>SUM(C35:C37)</f>
        <v>471332</v>
      </c>
      <c r="D28" s="1122">
        <f>SUM(D35:D37)</f>
        <v>1623.6501877559999</v>
      </c>
      <c r="E28" s="827">
        <f>SUM(E35:E37)</f>
        <v>11161</v>
      </c>
      <c r="F28" s="1144">
        <f>E28/C28</f>
        <v>2.3679699235358516E-2</v>
      </c>
      <c r="G28" s="1122">
        <f>SUM(G35:G37)</f>
        <v>59.108257872999999</v>
      </c>
      <c r="H28" s="1144">
        <f>G28/D28</f>
        <v>3.6404552112725599E-2</v>
      </c>
      <c r="I28" s="827">
        <f>SUM(I35:I37)</f>
        <v>2165</v>
      </c>
      <c r="J28" s="1122">
        <f>SUM(J35:J37)</f>
        <v>17.681519854000001</v>
      </c>
      <c r="K28" s="827">
        <f>SUM(K35:K37)</f>
        <v>8996</v>
      </c>
      <c r="L28" s="1122">
        <f>SUM(L35:L37)</f>
        <v>41.406738019000002</v>
      </c>
      <c r="M28" s="1582"/>
      <c r="N28" s="1582"/>
    </row>
    <row r="29" spans="1:14" ht="15" customHeight="1">
      <c r="A29" s="951"/>
      <c r="B29" s="1141" t="s">
        <v>245</v>
      </c>
      <c r="C29" s="827">
        <f>SUM(C38:C40)</f>
        <v>474981</v>
      </c>
      <c r="D29" s="1122">
        <f>SUM(D38:D40)</f>
        <v>1615.7808093180001</v>
      </c>
      <c r="E29" s="827">
        <f>SUM(E38:E40)</f>
        <v>11811</v>
      </c>
      <c r="F29" s="1144">
        <f>E29/C29</f>
        <v>2.4866257808207066E-2</v>
      </c>
      <c r="G29" s="1122">
        <f>SUM(G38:G40)</f>
        <v>40.978806246000005</v>
      </c>
      <c r="H29" s="1144">
        <f>G29/D29</f>
        <v>2.5361612175166644E-2</v>
      </c>
      <c r="I29" s="827">
        <f>SUM(I38:I40)</f>
        <v>2519</v>
      </c>
      <c r="J29" s="1122">
        <f>SUM(J38:J40)</f>
        <v>12.295529341</v>
      </c>
      <c r="K29" s="827">
        <f>SUM(K38:K40)</f>
        <v>9292</v>
      </c>
      <c r="L29" s="1122">
        <f>SUM(L38:L40)</f>
        <v>28.663276904999996</v>
      </c>
      <c r="M29" s="1582"/>
      <c r="N29" s="1582"/>
    </row>
    <row r="30" spans="1:14" ht="15" customHeight="1">
      <c r="A30" s="971"/>
      <c r="B30" s="1011" t="s">
        <v>242</v>
      </c>
      <c r="C30" s="947">
        <f>SUM(C41:C43)</f>
        <v>484952</v>
      </c>
      <c r="D30" s="1015">
        <f>SUM(D41:D43)</f>
        <v>1673.1073218239999</v>
      </c>
      <c r="E30" s="947">
        <f>SUM(E41:E43)</f>
        <v>11095</v>
      </c>
      <c r="F30" s="1014">
        <f>E30/C30</f>
        <v>2.2878552928949671E-2</v>
      </c>
      <c r="G30" s="1015">
        <f>SUM(G41:G43)</f>
        <v>72.005114173999999</v>
      </c>
      <c r="H30" s="1014">
        <f>G30/D30</f>
        <v>4.30367575556964E-2</v>
      </c>
      <c r="I30" s="947">
        <f>SUM(I41:I43)</f>
        <v>2553</v>
      </c>
      <c r="J30" s="1015">
        <f>SUM(J41:J43)</f>
        <v>9.2789886619999997</v>
      </c>
      <c r="K30" s="947">
        <f>SUM(K41:K43)</f>
        <v>8542</v>
      </c>
      <c r="L30" s="1015">
        <f>SUM(L41:L43)</f>
        <v>62.746125511999992</v>
      </c>
      <c r="M30" s="1582"/>
      <c r="N30" s="1582"/>
    </row>
    <row r="31" spans="1:14" s="1572" customFormat="1" ht="20.25" customHeight="1">
      <c r="A31" s="1571">
        <v>2023</v>
      </c>
      <c r="B31" s="868" t="s">
        <v>426</v>
      </c>
      <c r="C31" s="827">
        <v>163010</v>
      </c>
      <c r="D31" s="1122">
        <v>523.11392959299997</v>
      </c>
      <c r="E31" s="827">
        <v>4304</v>
      </c>
      <c r="F31" s="1144">
        <v>2.640328814183179E-2</v>
      </c>
      <c r="G31" s="1122">
        <v>18.641841545999998</v>
      </c>
      <c r="H31" s="1144">
        <v>3.5636293532661178E-2</v>
      </c>
      <c r="I31" s="827">
        <v>905</v>
      </c>
      <c r="J31" s="1122">
        <v>10.199999999999999</v>
      </c>
      <c r="K31" s="827">
        <v>3399</v>
      </c>
      <c r="L31" s="1122">
        <v>8.3798974449999992</v>
      </c>
      <c r="M31" s="1582"/>
      <c r="N31" s="1582"/>
    </row>
    <row r="32" spans="1:14" s="1572" customFormat="1" ht="21" customHeight="1">
      <c r="A32" s="1571">
        <v>2024</v>
      </c>
      <c r="B32" s="868" t="s">
        <v>427</v>
      </c>
      <c r="C32" s="827">
        <v>167614</v>
      </c>
      <c r="D32" s="1122">
        <v>557.74793271399994</v>
      </c>
      <c r="E32" s="827">
        <v>4203</v>
      </c>
      <c r="F32" s="1144">
        <f t="shared" ref="F32" si="0">E32/C32</f>
        <v>2.5075471022706936E-2</v>
      </c>
      <c r="G32" s="1122">
        <v>20.679339459000001</v>
      </c>
      <c r="H32" s="1144">
        <f t="shared" ref="H32" si="1">G32/D32</f>
        <v>3.7076496829624078E-2</v>
      </c>
      <c r="I32" s="827">
        <v>951</v>
      </c>
      <c r="J32" s="1122">
        <v>4.2167886550000002</v>
      </c>
      <c r="K32" s="827">
        <v>3252</v>
      </c>
      <c r="L32" s="1122">
        <v>16.462550803999999</v>
      </c>
      <c r="M32" s="1582"/>
      <c r="N32" s="1582"/>
    </row>
    <row r="33" spans="1:14" s="1572" customFormat="1">
      <c r="A33" s="1571"/>
      <c r="B33" s="868" t="s">
        <v>416</v>
      </c>
      <c r="C33" s="827">
        <v>161282</v>
      </c>
      <c r="D33" s="1122">
        <v>537.67608889199994</v>
      </c>
      <c r="E33" s="827">
        <v>3893</v>
      </c>
      <c r="F33" s="1144">
        <f t="shared" ref="F33" si="2">E33/C33</f>
        <v>2.4137845512828462E-2</v>
      </c>
      <c r="G33" s="1122">
        <v>12.9</v>
      </c>
      <c r="H33" s="1144">
        <f t="shared" ref="H33" si="3">G33/D33</f>
        <v>2.3992140001210194E-2</v>
      </c>
      <c r="I33" s="827">
        <v>857</v>
      </c>
      <c r="J33" s="1122">
        <v>3.0129450299999996</v>
      </c>
      <c r="K33" s="827">
        <v>3036</v>
      </c>
      <c r="L33" s="1122">
        <v>9.9489267709999982</v>
      </c>
      <c r="M33" s="1582"/>
      <c r="N33" s="1582"/>
    </row>
    <row r="34" spans="1:14" s="1572" customFormat="1">
      <c r="A34" s="1571"/>
      <c r="B34" s="868" t="s">
        <v>417</v>
      </c>
      <c r="C34" s="827">
        <v>163102</v>
      </c>
      <c r="D34" s="1122">
        <v>544.48555100300007</v>
      </c>
      <c r="E34" s="827">
        <v>3737</v>
      </c>
      <c r="F34" s="1144">
        <f t="shared" ref="F34" si="4">E34/C34</f>
        <v>2.2912042770781474E-2</v>
      </c>
      <c r="G34" s="1122">
        <v>18.882154206000003</v>
      </c>
      <c r="H34" s="1144">
        <f t="shared" ref="H34" si="5">G34/D34</f>
        <v>3.4678889405269017E-2</v>
      </c>
      <c r="I34" s="827">
        <v>755</v>
      </c>
      <c r="J34" s="1122">
        <v>3.9</v>
      </c>
      <c r="K34" s="827">
        <v>2982</v>
      </c>
      <c r="L34" s="1122">
        <v>14.952468752000003</v>
      </c>
      <c r="M34" s="1582"/>
      <c r="N34" s="1582"/>
    </row>
    <row r="35" spans="1:14" s="1572" customFormat="1">
      <c r="A35" s="1571"/>
      <c r="B35" s="868" t="s">
        <v>418</v>
      </c>
      <c r="C35" s="827">
        <v>152658</v>
      </c>
      <c r="D35" s="1122">
        <v>524.08305131399993</v>
      </c>
      <c r="E35" s="827">
        <v>3669</v>
      </c>
      <c r="F35" s="1144">
        <f t="shared" ref="F35" si="6">E35/C35</f>
        <v>2.4034115473804189E-2</v>
      </c>
      <c r="G35" s="1122">
        <v>19.949559726</v>
      </c>
      <c r="H35" s="1144">
        <f t="shared" ref="H35" si="7">G35/D35</f>
        <v>3.8065645656698392E-2</v>
      </c>
      <c r="I35" s="827">
        <v>698</v>
      </c>
      <c r="J35" s="1122">
        <v>4.3389932610000006</v>
      </c>
      <c r="K35" s="827">
        <v>2971</v>
      </c>
      <c r="L35" s="1122">
        <v>15.610566465</v>
      </c>
      <c r="M35" s="1582"/>
      <c r="N35" s="1582"/>
    </row>
    <row r="36" spans="1:14" s="1572" customFormat="1">
      <c r="A36" s="1571"/>
      <c r="B36" s="868" t="s">
        <v>419</v>
      </c>
      <c r="C36" s="827">
        <v>164199</v>
      </c>
      <c r="D36" s="1122">
        <v>584.26126782200004</v>
      </c>
      <c r="E36" s="827">
        <v>3662</v>
      </c>
      <c r="F36" s="1144">
        <f t="shared" ref="F36" si="8">E36/C36</f>
        <v>2.2302206468979714E-2</v>
      </c>
      <c r="G36" s="1122">
        <v>21.319579688999998</v>
      </c>
      <c r="H36" s="1144">
        <f t="shared" ref="H36" si="9">G36/D36</f>
        <v>3.6489804926612357E-2</v>
      </c>
      <c r="I36" s="827">
        <v>739</v>
      </c>
      <c r="J36" s="1122">
        <v>4.5006860000000017</v>
      </c>
      <c r="K36" s="827">
        <v>2923</v>
      </c>
      <c r="L36" s="1122">
        <v>16.818893689000003</v>
      </c>
      <c r="M36" s="1582"/>
      <c r="N36" s="1582"/>
    </row>
    <row r="37" spans="1:14" s="1572" customFormat="1">
      <c r="A37" s="1571"/>
      <c r="B37" s="868" t="s">
        <v>420</v>
      </c>
      <c r="C37" s="827">
        <v>154475</v>
      </c>
      <c r="D37" s="1122">
        <v>515.30586861999996</v>
      </c>
      <c r="E37" s="827">
        <v>3830</v>
      </c>
      <c r="F37" s="1144">
        <f t="shared" ref="F37" si="10">E37/C37</f>
        <v>2.4793655931380481E-2</v>
      </c>
      <c r="G37" s="1122">
        <v>17.839118458000002</v>
      </c>
      <c r="H37" s="1144">
        <f t="shared" ref="H37" si="11">G37/D37</f>
        <v>3.4618504356982271E-2</v>
      </c>
      <c r="I37" s="827">
        <v>728</v>
      </c>
      <c r="J37" s="1122">
        <f>8.861840593-0.02</f>
        <v>8.8418405930000006</v>
      </c>
      <c r="K37" s="827">
        <v>3102</v>
      </c>
      <c r="L37" s="1122">
        <v>8.9772778649999996</v>
      </c>
      <c r="M37" s="1582"/>
      <c r="N37" s="1582"/>
    </row>
    <row r="38" spans="1:14" s="1572" customFormat="1">
      <c r="A38" s="1571"/>
      <c r="B38" s="868" t="s">
        <v>421</v>
      </c>
      <c r="C38" s="827">
        <v>163987</v>
      </c>
      <c r="D38" s="1122">
        <v>590.73283326700005</v>
      </c>
      <c r="E38" s="827">
        <v>3987</v>
      </c>
      <c r="F38" s="1144">
        <f t="shared" ref="F38" si="12">E38/C38</f>
        <v>2.4312902852055347E-2</v>
      </c>
      <c r="G38" s="1122">
        <v>16.935877004000005</v>
      </c>
      <c r="H38" s="1144">
        <f t="shared" ref="H38" si="13">G38/D38</f>
        <v>2.866926646067311E-2</v>
      </c>
      <c r="I38" s="827">
        <v>925</v>
      </c>
      <c r="J38" s="1122">
        <v>5.8215592010000003</v>
      </c>
      <c r="K38" s="827">
        <v>3062</v>
      </c>
      <c r="L38" s="1122">
        <v>11.114317802999999</v>
      </c>
      <c r="M38" s="1582"/>
      <c r="N38" s="1582"/>
    </row>
    <row r="39" spans="1:14" s="1572" customFormat="1">
      <c r="A39" s="1571"/>
      <c r="B39" s="868" t="s">
        <v>422</v>
      </c>
      <c r="C39" s="827">
        <v>146515</v>
      </c>
      <c r="D39" s="1122">
        <v>481.17604502200015</v>
      </c>
      <c r="E39" s="827">
        <v>3730</v>
      </c>
      <c r="F39" s="1144">
        <f t="shared" ref="F39" si="14">E39/C39</f>
        <v>2.5458144217315633E-2</v>
      </c>
      <c r="G39" s="1122">
        <v>11.881969872000003</v>
      </c>
      <c r="H39" s="1144">
        <f t="shared" ref="H39" si="15">G39/D39</f>
        <v>2.4693602258310136E-2</v>
      </c>
      <c r="I39" s="827">
        <v>692</v>
      </c>
      <c r="J39" s="1122">
        <v>2.590353516</v>
      </c>
      <c r="K39" s="827">
        <v>3038</v>
      </c>
      <c r="L39" s="1122">
        <v>9.2916163560000005</v>
      </c>
      <c r="M39" s="1582"/>
      <c r="N39" s="1582"/>
    </row>
    <row r="40" spans="1:14" s="1572" customFormat="1">
      <c r="A40" s="1571"/>
      <c r="B40" s="868" t="s">
        <v>423</v>
      </c>
      <c r="C40" s="827">
        <v>164479</v>
      </c>
      <c r="D40" s="1122">
        <v>543.87193102899994</v>
      </c>
      <c r="E40" s="827">
        <v>4094</v>
      </c>
      <c r="F40" s="1144">
        <f t="shared" ref="F40" si="16">E40/C40</f>
        <v>2.4890715532074004E-2</v>
      </c>
      <c r="G40" s="1122">
        <f>12.14095937+0.02</f>
        <v>12.160959369999999</v>
      </c>
      <c r="H40" s="1144">
        <f t="shared" ref="H40" si="17">G40/D40</f>
        <v>2.2359968728284236E-2</v>
      </c>
      <c r="I40" s="827">
        <v>902</v>
      </c>
      <c r="J40" s="1122">
        <v>3.8836166239999996</v>
      </c>
      <c r="K40" s="827">
        <v>3192</v>
      </c>
      <c r="L40" s="1122">
        <f>8.257342746</f>
        <v>8.2573427460000008</v>
      </c>
      <c r="M40" s="1582"/>
      <c r="N40" s="1582"/>
    </row>
    <row r="41" spans="1:14" s="1572" customFormat="1">
      <c r="A41" s="1571"/>
      <c r="B41" s="868" t="s">
        <v>424</v>
      </c>
      <c r="C41" s="827">
        <v>167762</v>
      </c>
      <c r="D41" s="1122">
        <v>574.25161137799989</v>
      </c>
      <c r="E41" s="827">
        <v>3755</v>
      </c>
      <c r="F41" s="1144">
        <f t="shared" ref="F41" si="18">E41/C41</f>
        <v>2.2382899583934385E-2</v>
      </c>
      <c r="G41" s="1122">
        <v>23.384396117999998</v>
      </c>
      <c r="H41" s="1144">
        <f t="shared" ref="H41" si="19">G41/D41</f>
        <v>4.0721515890718624E-2</v>
      </c>
      <c r="I41" s="827">
        <v>836</v>
      </c>
      <c r="J41" s="1122">
        <v>3.078269204000001</v>
      </c>
      <c r="K41" s="827">
        <v>2919</v>
      </c>
      <c r="L41" s="1122">
        <v>20.306126913999996</v>
      </c>
      <c r="M41" s="1582"/>
      <c r="N41" s="1582"/>
    </row>
    <row r="42" spans="1:14" s="1572" customFormat="1">
      <c r="A42" s="1571"/>
      <c r="B42" s="868" t="s">
        <v>425</v>
      </c>
      <c r="C42" s="827">
        <v>147782</v>
      </c>
      <c r="D42" s="1122">
        <v>501.3147104900001</v>
      </c>
      <c r="E42" s="827">
        <v>3312</v>
      </c>
      <c r="F42" s="1144">
        <f t="shared" ref="F42" si="20">E42/C42</f>
        <v>2.2411389749766548E-2</v>
      </c>
      <c r="G42" s="1122">
        <v>35.678393959000005</v>
      </c>
      <c r="H42" s="1144">
        <f t="shared" ref="H42" si="21">G42/D42</f>
        <v>7.1169652939421763E-2</v>
      </c>
      <c r="I42" s="827">
        <v>830</v>
      </c>
      <c r="J42" s="1122">
        <v>3.1817398209999994</v>
      </c>
      <c r="K42" s="827">
        <v>2482</v>
      </c>
      <c r="L42" s="1122">
        <v>32.496654137999997</v>
      </c>
      <c r="M42" s="1582"/>
      <c r="N42" s="1582"/>
    </row>
    <row r="43" spans="1:14" s="1572" customFormat="1">
      <c r="A43" s="1571"/>
      <c r="B43" s="868" t="s">
        <v>426</v>
      </c>
      <c r="C43" s="827">
        <v>169408</v>
      </c>
      <c r="D43" s="1122">
        <v>597.54099995599995</v>
      </c>
      <c r="E43" s="827">
        <v>4028</v>
      </c>
      <c r="F43" s="1144">
        <f t="shared" ref="F43" si="22">E43/C43</f>
        <v>2.3776917264828109E-2</v>
      </c>
      <c r="G43" s="1122">
        <f>12.962324097-0.02</f>
        <v>12.942324097</v>
      </c>
      <c r="H43" s="1144">
        <f t="shared" ref="H43" si="23">G43/D43</f>
        <v>2.165930722402816E-2</v>
      </c>
      <c r="I43" s="827">
        <v>887</v>
      </c>
      <c r="J43" s="1122">
        <v>3.0189796369999993</v>
      </c>
      <c r="K43" s="827">
        <v>3141</v>
      </c>
      <c r="L43" s="1122">
        <v>9.9433444599999987</v>
      </c>
      <c r="M43" s="1582"/>
      <c r="N43" s="1582"/>
    </row>
    <row r="44" spans="1:14">
      <c r="A44" s="1534" t="s">
        <v>1753</v>
      </c>
      <c r="B44" s="1573"/>
      <c r="C44" s="1573"/>
      <c r="D44" s="1573"/>
      <c r="E44" s="1573"/>
      <c r="F44" s="1573"/>
      <c r="G44" s="1573"/>
      <c r="H44" s="1573"/>
      <c r="I44" s="1584"/>
      <c r="J44" s="1584"/>
      <c r="K44" s="1584"/>
      <c r="L44" s="1585" t="s">
        <v>1243</v>
      </c>
    </row>
    <row r="45" spans="1:14">
      <c r="A45" s="1535"/>
      <c r="B45" s="1574"/>
      <c r="C45" s="1574"/>
      <c r="D45" s="1574"/>
      <c r="E45" s="1574"/>
      <c r="F45" s="1574"/>
      <c r="G45" s="1574"/>
      <c r="H45" s="1574"/>
    </row>
    <row r="46" spans="1:14">
      <c r="A46" s="1560" t="s">
        <v>1244</v>
      </c>
      <c r="B46" s="1560"/>
      <c r="C46" s="1560"/>
      <c r="D46" s="1560"/>
      <c r="E46" s="1560"/>
      <c r="F46" s="1560"/>
      <c r="G46" s="1560"/>
      <c r="H46" s="1560"/>
      <c r="I46" s="1560"/>
      <c r="J46" s="1560"/>
      <c r="K46" s="1560"/>
      <c r="L46" s="1560"/>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18" activePane="bottomLeft" state="frozen"/>
      <selection activeCell="B12" sqref="B12"/>
      <selection pane="bottomLeft" activeCell="A12" sqref="A12:B12"/>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1752</v>
      </c>
      <c r="B1" s="979"/>
      <c r="C1" s="979"/>
      <c r="D1" s="979"/>
      <c r="E1" s="979"/>
      <c r="F1" s="979"/>
      <c r="G1" s="979"/>
      <c r="H1" s="979"/>
      <c r="I1" s="979"/>
      <c r="J1" s="979"/>
      <c r="K1" s="979"/>
      <c r="L1" s="979"/>
      <c r="M1" s="979"/>
    </row>
    <row r="2" spans="1:13" ht="18" customHeight="1">
      <c r="A2" s="977" t="s">
        <v>1245</v>
      </c>
      <c r="B2" s="978"/>
      <c r="C2" s="978"/>
      <c r="D2" s="978"/>
      <c r="E2" s="978"/>
      <c r="F2" s="978"/>
      <c r="G2" s="978"/>
      <c r="H2" s="978"/>
      <c r="I2" s="978"/>
      <c r="J2" s="978"/>
      <c r="K2" s="978"/>
      <c r="L2" s="978"/>
      <c r="M2" s="978"/>
    </row>
    <row r="3" spans="1:13" ht="18">
      <c r="A3" s="977" t="s">
        <v>1246</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1291" t="s">
        <v>1247</v>
      </c>
      <c r="B8" s="1293"/>
      <c r="C8" s="1291" t="s">
        <v>1248</v>
      </c>
      <c r="D8" s="1292"/>
      <c r="E8" s="1292"/>
      <c r="F8" s="1293"/>
      <c r="G8" s="1291" t="s">
        <v>1249</v>
      </c>
      <c r="H8" s="1292"/>
      <c r="I8" s="1292"/>
      <c r="J8" s="1293"/>
      <c r="K8" s="988" t="s">
        <v>1250</v>
      </c>
      <c r="L8" s="989"/>
      <c r="M8" s="1540" t="s">
        <v>1251</v>
      </c>
    </row>
    <row r="9" spans="1:13" s="973" customFormat="1" ht="15.75" customHeight="1">
      <c r="A9" s="1566"/>
      <c r="B9" s="1567"/>
      <c r="C9" s="1294" t="s">
        <v>1252</v>
      </c>
      <c r="D9" s="1295"/>
      <c r="E9" s="1295"/>
      <c r="F9" s="1296"/>
      <c r="G9" s="1294" t="s">
        <v>1253</v>
      </c>
      <c r="H9" s="1295"/>
      <c r="I9" s="1295"/>
      <c r="J9" s="1296"/>
      <c r="K9" s="1294" t="s">
        <v>1254</v>
      </c>
      <c r="L9" s="1296"/>
      <c r="M9" s="1543"/>
    </row>
    <row r="10" spans="1:13" s="973" customFormat="1" ht="31.5">
      <c r="A10" s="1566"/>
      <c r="B10" s="1567"/>
      <c r="C10" s="944" t="s">
        <v>1255</v>
      </c>
      <c r="D10" s="944" t="s">
        <v>1256</v>
      </c>
      <c r="E10" s="944" t="s">
        <v>386</v>
      </c>
      <c r="F10" s="944" t="s">
        <v>1257</v>
      </c>
      <c r="G10" s="944" t="s">
        <v>1255</v>
      </c>
      <c r="H10" s="944" t="s">
        <v>1256</v>
      </c>
      <c r="I10" s="944" t="s">
        <v>386</v>
      </c>
      <c r="J10" s="944" t="s">
        <v>1257</v>
      </c>
      <c r="K10" s="987" t="s">
        <v>1248</v>
      </c>
      <c r="L10" s="987" t="s">
        <v>1249</v>
      </c>
      <c r="M10" s="1543"/>
    </row>
    <row r="11" spans="1:13" s="973" customFormat="1" ht="45.75" customHeight="1">
      <c r="A11" s="1294"/>
      <c r="B11" s="1296"/>
      <c r="C11" s="945" t="s">
        <v>1258</v>
      </c>
      <c r="D11" s="945" t="s">
        <v>1259</v>
      </c>
      <c r="E11" s="945" t="s">
        <v>397</v>
      </c>
      <c r="F11" s="945" t="s">
        <v>1260</v>
      </c>
      <c r="G11" s="945" t="s">
        <v>1258</v>
      </c>
      <c r="H11" s="945" t="s">
        <v>1259</v>
      </c>
      <c r="I11" s="945" t="s">
        <v>397</v>
      </c>
      <c r="J11" s="945" t="s">
        <v>1260</v>
      </c>
      <c r="K11" s="945" t="s">
        <v>1252</v>
      </c>
      <c r="L11" s="945" t="s">
        <v>1253</v>
      </c>
      <c r="M11" s="1546"/>
    </row>
    <row r="12" spans="1:13" ht="14.25" hidden="1" customHeight="1">
      <c r="A12" s="1568"/>
      <c r="B12" s="1569"/>
      <c r="C12" s="972"/>
      <c r="D12" s="972"/>
      <c r="E12" s="1012"/>
      <c r="F12" s="1012"/>
      <c r="G12" s="1012"/>
      <c r="H12" s="1012"/>
      <c r="I12" s="947"/>
      <c r="J12" s="947"/>
      <c r="K12" s="947"/>
      <c r="L12" s="947"/>
      <c r="M12" s="1015"/>
    </row>
    <row r="13" spans="1:13" ht="20.25" hidden="1" customHeight="1">
      <c r="A13" s="1145"/>
      <c r="B13" s="870"/>
      <c r="C13" s="870"/>
      <c r="D13" s="870"/>
      <c r="E13" s="1142"/>
      <c r="F13" s="1142"/>
      <c r="G13" s="1142"/>
      <c r="H13" s="1142"/>
      <c r="I13" s="827"/>
      <c r="J13" s="827"/>
      <c r="K13" s="827"/>
      <c r="L13" s="827"/>
      <c r="M13" s="1122"/>
    </row>
    <row r="14" spans="1:13" ht="14.25" hidden="1" customHeight="1">
      <c r="A14" s="1570"/>
      <c r="B14" s="870"/>
      <c r="C14" s="870"/>
      <c r="D14" s="870"/>
      <c r="E14" s="1142"/>
      <c r="F14" s="1142"/>
      <c r="G14" s="1142"/>
      <c r="H14" s="1142"/>
      <c r="I14" s="827"/>
      <c r="J14" s="827"/>
      <c r="K14" s="827"/>
      <c r="L14" s="827"/>
      <c r="M14" s="1122"/>
    </row>
    <row r="15" spans="1:13" ht="14.25" hidden="1" customHeight="1">
      <c r="A15" s="1570"/>
      <c r="B15" s="870"/>
      <c r="C15" s="870"/>
      <c r="D15" s="870"/>
      <c r="E15" s="1142"/>
      <c r="F15" s="1142"/>
      <c r="G15" s="1142"/>
      <c r="H15" s="1142"/>
      <c r="I15" s="827"/>
      <c r="J15" s="827"/>
      <c r="K15" s="827"/>
      <c r="L15" s="827"/>
      <c r="M15" s="1122"/>
    </row>
    <row r="16" spans="1:13" ht="20.25" customHeight="1">
      <c r="A16" s="951">
        <v>2018</v>
      </c>
      <c r="B16" s="870"/>
      <c r="C16" s="827">
        <v>49048695</v>
      </c>
      <c r="D16" s="827">
        <v>15425030</v>
      </c>
      <c r="E16" s="827">
        <v>64473725</v>
      </c>
      <c r="F16" s="946" t="s">
        <v>297</v>
      </c>
      <c r="G16" s="827">
        <v>1524054553.0560038</v>
      </c>
      <c r="H16" s="827">
        <v>453159702.84699965</v>
      </c>
      <c r="I16" s="827">
        <v>1977214255.9030037</v>
      </c>
      <c r="J16" s="946" t="s">
        <v>297</v>
      </c>
      <c r="K16" s="946" t="s">
        <v>297</v>
      </c>
      <c r="L16" s="946" t="s">
        <v>297</v>
      </c>
      <c r="M16" s="827">
        <v>35010</v>
      </c>
    </row>
    <row r="17" spans="1:15">
      <c r="A17" s="951">
        <v>2019</v>
      </c>
      <c r="B17" s="870"/>
      <c r="C17" s="827">
        <v>58433552</v>
      </c>
      <c r="D17" s="827">
        <v>15246093</v>
      </c>
      <c r="E17" s="827">
        <v>73679645</v>
      </c>
      <c r="F17" s="946" t="s">
        <v>297</v>
      </c>
      <c r="G17" s="827">
        <v>1877177352.7550023</v>
      </c>
      <c r="H17" s="827">
        <v>557218329.50299978</v>
      </c>
      <c r="I17" s="827">
        <v>2434395681.0980015</v>
      </c>
      <c r="J17" s="946" t="s">
        <v>297</v>
      </c>
      <c r="K17" s="946" t="s">
        <v>297</v>
      </c>
      <c r="L17" s="946" t="s">
        <v>297</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297</v>
      </c>
      <c r="L18" s="946" t="s">
        <v>297</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f t="shared" ref="C21:L21" si="0">SUM(C23:C26)</f>
        <v>147610590</v>
      </c>
      <c r="D21" s="827">
        <f t="shared" si="0"/>
        <v>36266952</v>
      </c>
      <c r="E21" s="827">
        <f t="shared" si="0"/>
        <v>183877542</v>
      </c>
      <c r="F21" s="946">
        <f t="shared" si="0"/>
        <v>142708090</v>
      </c>
      <c r="G21" s="827">
        <f t="shared" si="0"/>
        <v>3273915613.6049886</v>
      </c>
      <c r="H21" s="827">
        <f t="shared" si="0"/>
        <v>875672992.59169924</v>
      </c>
      <c r="I21" s="827">
        <f t="shared" si="0"/>
        <v>4149588606.1966877</v>
      </c>
      <c r="J21" s="946">
        <f t="shared" si="0"/>
        <v>2104459326.7329998</v>
      </c>
      <c r="K21" s="946">
        <f t="shared" si="0"/>
        <v>20606338</v>
      </c>
      <c r="L21" s="946">
        <f t="shared" si="0"/>
        <v>1427531074.4651761</v>
      </c>
      <c r="M21" s="827">
        <f>M26</f>
        <v>53170</v>
      </c>
    </row>
    <row r="22" spans="1:15">
      <c r="A22" s="971">
        <v>2024</v>
      </c>
      <c r="B22" s="972"/>
      <c r="C22" s="947">
        <f t="shared" ref="C22:L22" si="1">SUM(C27:C30)</f>
        <v>177242486</v>
      </c>
      <c r="D22" s="947">
        <f t="shared" si="1"/>
        <v>40480452</v>
      </c>
      <c r="E22" s="1319">
        <f t="shared" si="1"/>
        <v>217722938</v>
      </c>
      <c r="F22" s="948">
        <f t="shared" si="1"/>
        <v>168851880</v>
      </c>
      <c r="G22" s="947">
        <f t="shared" si="1"/>
        <v>3731064726.9130077</v>
      </c>
      <c r="H22" s="947">
        <f t="shared" si="1"/>
        <v>934436989.74600005</v>
      </c>
      <c r="I22" s="947">
        <f t="shared" si="1"/>
        <v>4665501714.9590082</v>
      </c>
      <c r="J22" s="948">
        <f t="shared" si="1"/>
        <v>2457044708.79</v>
      </c>
      <c r="K22" s="948">
        <f t="shared" si="1"/>
        <v>28317897</v>
      </c>
      <c r="L22" s="948">
        <f t="shared" si="1"/>
        <v>1501203188.9110079</v>
      </c>
      <c r="M22" s="947">
        <f>M30</f>
        <v>57075</v>
      </c>
    </row>
    <row r="23" spans="1:15" ht="21" customHeight="1">
      <c r="A23" s="951">
        <v>2023</v>
      </c>
      <c r="B23" s="870" t="s">
        <v>243</v>
      </c>
      <c r="C23" s="827">
        <v>35289392</v>
      </c>
      <c r="D23" s="827">
        <v>8141896</v>
      </c>
      <c r="E23" s="827">
        <v>43431288</v>
      </c>
      <c r="F23" s="946">
        <v>33380016</v>
      </c>
      <c r="G23" s="827">
        <v>817223050.35940492</v>
      </c>
      <c r="H23" s="827">
        <v>189474973.71198887</v>
      </c>
      <c r="I23" s="827">
        <v>1006698024.171394</v>
      </c>
      <c r="J23" s="946">
        <v>500010515.08699995</v>
      </c>
      <c r="K23" s="946">
        <v>5977531</v>
      </c>
      <c r="L23" s="946">
        <v>348247590.99239385</v>
      </c>
      <c r="M23" s="827">
        <v>49989</v>
      </c>
    </row>
    <row r="24" spans="1:15">
      <c r="A24" s="951"/>
      <c r="B24" s="870" t="s">
        <v>244</v>
      </c>
      <c r="C24" s="827">
        <v>36317861</v>
      </c>
      <c r="D24" s="827">
        <v>8960537</v>
      </c>
      <c r="E24" s="827">
        <v>45278398</v>
      </c>
      <c r="F24" s="946">
        <v>35207438</v>
      </c>
      <c r="G24" s="827">
        <v>817335356.74208879</v>
      </c>
      <c r="H24" s="827">
        <v>208776428.44288382</v>
      </c>
      <c r="I24" s="827">
        <v>1026111785.1849728</v>
      </c>
      <c r="J24" s="946">
        <v>528427133.41399992</v>
      </c>
      <c r="K24" s="946">
        <v>6152800</v>
      </c>
      <c r="L24" s="946">
        <v>347680384.70156819</v>
      </c>
      <c r="M24" s="827">
        <v>49091</v>
      </c>
    </row>
    <row r="25" spans="1:15">
      <c r="A25" s="951"/>
      <c r="B25" s="1129" t="s">
        <v>245</v>
      </c>
      <c r="C25" s="1201">
        <v>36626927</v>
      </c>
      <c r="D25" s="827">
        <v>9583100</v>
      </c>
      <c r="E25" s="1134">
        <v>46210027</v>
      </c>
      <c r="F25" s="946">
        <v>36111772</v>
      </c>
      <c r="G25" s="827">
        <v>792870232.5539999</v>
      </c>
      <c r="H25" s="827">
        <v>218751468.40959787</v>
      </c>
      <c r="I25" s="827">
        <v>1011621700.9635978</v>
      </c>
      <c r="J25" s="946">
        <v>521240749.31399995</v>
      </c>
      <c r="K25" s="946">
        <v>4375510</v>
      </c>
      <c r="L25" s="946">
        <v>349554064.58582449</v>
      </c>
      <c r="M25" s="827">
        <v>51121</v>
      </c>
    </row>
    <row r="26" spans="1:15">
      <c r="A26" s="951"/>
      <c r="B26" s="870" t="s">
        <v>242</v>
      </c>
      <c r="C26" s="827">
        <v>39376410</v>
      </c>
      <c r="D26" s="827">
        <v>9581419</v>
      </c>
      <c r="E26" s="827">
        <v>48957829</v>
      </c>
      <c r="F26" s="946">
        <v>38008864</v>
      </c>
      <c r="G26" s="827">
        <v>846486973.94949484</v>
      </c>
      <c r="H26" s="827">
        <v>258670122.02722868</v>
      </c>
      <c r="I26" s="827">
        <v>1105157095.8767233</v>
      </c>
      <c r="J26" s="946">
        <v>554780928.91799998</v>
      </c>
      <c r="K26" s="946">
        <v>4100497</v>
      </c>
      <c r="L26" s="946">
        <v>382049034.18538964</v>
      </c>
      <c r="M26" s="827">
        <v>53170</v>
      </c>
    </row>
    <row r="27" spans="1:15" ht="21" customHeight="1">
      <c r="A27" s="951">
        <v>2024</v>
      </c>
      <c r="B27" s="870" t="s">
        <v>243</v>
      </c>
      <c r="C27" s="827">
        <f t="shared" ref="C27:L27" si="2">SUM(C32:C34)</f>
        <v>39383698</v>
      </c>
      <c r="D27" s="827">
        <f t="shared" si="2"/>
        <v>9535298</v>
      </c>
      <c r="E27" s="827">
        <f t="shared" si="2"/>
        <v>48918996</v>
      </c>
      <c r="F27" s="946">
        <f t="shared" si="2"/>
        <v>37545675</v>
      </c>
      <c r="G27" s="827">
        <f t="shared" si="2"/>
        <v>849577043.41000056</v>
      </c>
      <c r="H27" s="827">
        <f t="shared" si="2"/>
        <v>247802433.514</v>
      </c>
      <c r="I27" s="827">
        <f t="shared" si="2"/>
        <v>1097379476.9240005</v>
      </c>
      <c r="J27" s="946">
        <f t="shared" si="2"/>
        <v>562285492.65199995</v>
      </c>
      <c r="K27" s="946">
        <f t="shared" si="2"/>
        <v>5605053</v>
      </c>
      <c r="L27" s="946">
        <f t="shared" si="2"/>
        <v>375475878.34700048</v>
      </c>
      <c r="M27" s="827">
        <f>M34</f>
        <v>54445</v>
      </c>
      <c r="N27" s="1216"/>
    </row>
    <row r="28" spans="1:15" ht="15" customHeight="1">
      <c r="A28" s="951"/>
      <c r="B28" s="870" t="s">
        <v>244</v>
      </c>
      <c r="C28" s="827">
        <f t="shared" ref="C28:L28" si="3">SUM(C35:C37)</f>
        <v>44367426</v>
      </c>
      <c r="D28" s="827">
        <f t="shared" si="3"/>
        <v>9869246</v>
      </c>
      <c r="E28" s="827">
        <f t="shared" si="3"/>
        <v>54236672</v>
      </c>
      <c r="F28" s="946">
        <f t="shared" si="3"/>
        <v>42134278</v>
      </c>
      <c r="G28" s="827">
        <f t="shared" si="3"/>
        <v>919928077.23700118</v>
      </c>
      <c r="H28" s="827">
        <f>SUM(H35:H37)+0.7</f>
        <v>222033857.57599998</v>
      </c>
      <c r="I28" s="827">
        <f t="shared" si="3"/>
        <v>1141961934.0130014</v>
      </c>
      <c r="J28" s="946">
        <f t="shared" si="3"/>
        <v>616791730.26900005</v>
      </c>
      <c r="K28" s="946">
        <f t="shared" si="3"/>
        <v>7109808</v>
      </c>
      <c r="L28" s="946">
        <f t="shared" si="3"/>
        <v>356309483.97100121</v>
      </c>
      <c r="M28" s="827">
        <f>M37</f>
        <v>55155</v>
      </c>
      <c r="N28" s="1216"/>
    </row>
    <row r="29" spans="1:15" ht="15" customHeight="1">
      <c r="A29" s="951"/>
      <c r="B29" s="870" t="s">
        <v>245</v>
      </c>
      <c r="C29" s="827">
        <f>SUM(C38:C40)</f>
        <v>44466895</v>
      </c>
      <c r="D29" s="827">
        <f>SUM(D38:D40)</f>
        <v>10430521</v>
      </c>
      <c r="E29" s="827">
        <f>SUM(E38:E40)</f>
        <v>54897416</v>
      </c>
      <c r="F29" s="946">
        <f>SUM(F38:F40)</f>
        <v>42330934</v>
      </c>
      <c r="G29" s="827">
        <f>SUM(G38:G40)</f>
        <v>944400823.23000264</v>
      </c>
      <c r="H29" s="827">
        <f>SUM(H38:H40)+0.7</f>
        <v>217150411.65200001</v>
      </c>
      <c r="I29" s="827">
        <f>SUM(I38:I40)</f>
        <v>1161551234.1820025</v>
      </c>
      <c r="J29" s="946">
        <f>SUM(J38:J40)</f>
        <v>601477942.01700008</v>
      </c>
      <c r="K29" s="946">
        <f>SUM(K38:K40)</f>
        <v>7562127</v>
      </c>
      <c r="L29" s="946">
        <f>SUM(L38:L40)</f>
        <v>384752326.91300267</v>
      </c>
      <c r="M29" s="827">
        <f>M40</f>
        <v>56022</v>
      </c>
      <c r="N29" s="1216"/>
    </row>
    <row r="30" spans="1:15" ht="15" customHeight="1">
      <c r="A30" s="971"/>
      <c r="B30" s="972" t="s">
        <v>242</v>
      </c>
      <c r="C30" s="947">
        <f>SUM(C41:C43)</f>
        <v>49024467</v>
      </c>
      <c r="D30" s="947">
        <f>SUM(D41:D43)</f>
        <v>10645387</v>
      </c>
      <c r="E30" s="947">
        <f>SUM(E41:E43)</f>
        <v>59669854</v>
      </c>
      <c r="F30" s="948">
        <f>SUM(F41:F43)</f>
        <v>46840993</v>
      </c>
      <c r="G30" s="947">
        <f>SUM(G41:G43)</f>
        <v>1017158783.0360032</v>
      </c>
      <c r="H30" s="947">
        <f>SUM(H41:H43)+0.7</f>
        <v>247450287.00400001</v>
      </c>
      <c r="I30" s="947">
        <f>SUM(I41:I43)</f>
        <v>1264609069.8400035</v>
      </c>
      <c r="J30" s="948">
        <f>SUM(J41:J43)</f>
        <v>676489543.852</v>
      </c>
      <c r="K30" s="948">
        <f>SUM(K41:K43)</f>
        <v>8040909</v>
      </c>
      <c r="L30" s="948">
        <f>SUM(L41:L43)</f>
        <v>384665499.68000329</v>
      </c>
      <c r="M30" s="947">
        <f>M43</f>
        <v>57075</v>
      </c>
      <c r="N30" s="1216"/>
    </row>
    <row r="31" spans="1:15" s="1572" customFormat="1" ht="20.25" customHeight="1">
      <c r="A31" s="1571">
        <v>2023</v>
      </c>
      <c r="B31" s="868" t="s">
        <v>426</v>
      </c>
      <c r="C31" s="827">
        <v>13534640</v>
      </c>
      <c r="D31" s="827">
        <v>3395541</v>
      </c>
      <c r="E31" s="827">
        <v>16930181</v>
      </c>
      <c r="F31" s="827">
        <v>13278806</v>
      </c>
      <c r="G31" s="827">
        <v>279618312.59100008</v>
      </c>
      <c r="H31" s="827">
        <v>89187643.194999993</v>
      </c>
      <c r="I31" s="827">
        <v>368805955.68599999</v>
      </c>
      <c r="J31" s="827">
        <v>190536168.55400002</v>
      </c>
      <c r="K31" s="827">
        <v>1379193</v>
      </c>
      <c r="L31" s="827">
        <v>127483822.48800007</v>
      </c>
      <c r="M31" s="827">
        <v>53170</v>
      </c>
      <c r="N31" s="869"/>
      <c r="O31" s="869"/>
    </row>
    <row r="32" spans="1:15" s="1572" customFormat="1" ht="21" customHeight="1">
      <c r="A32" s="1571">
        <v>2024</v>
      </c>
      <c r="B32" s="868" t="s">
        <v>427</v>
      </c>
      <c r="C32" s="827">
        <v>13296705</v>
      </c>
      <c r="D32" s="827">
        <v>3623514</v>
      </c>
      <c r="E32" s="827">
        <v>16920219</v>
      </c>
      <c r="F32" s="827">
        <v>13059482</v>
      </c>
      <c r="G32" s="827">
        <v>284204751.30000007</v>
      </c>
      <c r="H32" s="827">
        <v>93660542.577999994</v>
      </c>
      <c r="I32" s="827">
        <v>377865293.77800006</v>
      </c>
      <c r="J32" s="827">
        <v>189369205.86700001</v>
      </c>
      <c r="K32" s="827">
        <v>1447797</v>
      </c>
      <c r="L32" s="827">
        <v>133504186.80400008</v>
      </c>
      <c r="M32" s="827">
        <v>53218</v>
      </c>
      <c r="N32" s="869"/>
      <c r="O32" s="869"/>
    </row>
    <row r="33" spans="1:15" s="1572" customFormat="1">
      <c r="A33" s="1571"/>
      <c r="B33" s="868" t="s">
        <v>416</v>
      </c>
      <c r="C33" s="827">
        <v>12500928</v>
      </c>
      <c r="D33" s="827">
        <v>3422691</v>
      </c>
      <c r="E33" s="827">
        <v>15923619</v>
      </c>
      <c r="F33" s="827">
        <v>12156582</v>
      </c>
      <c r="G33" s="827">
        <v>264286461.97499996</v>
      </c>
      <c r="H33" s="827">
        <v>92092016.950000003</v>
      </c>
      <c r="I33" s="827">
        <v>356378478.92499995</v>
      </c>
      <c r="J33" s="827">
        <v>180170643.12200001</v>
      </c>
      <c r="K33" s="827">
        <v>1976379</v>
      </c>
      <c r="L33" s="827">
        <v>126508178.38699996</v>
      </c>
      <c r="M33" s="827">
        <v>54190</v>
      </c>
      <c r="N33" s="869"/>
      <c r="O33" s="869"/>
    </row>
    <row r="34" spans="1:15" s="1572" customFormat="1">
      <c r="A34" s="1571"/>
      <c r="B34" s="868" t="s">
        <v>417</v>
      </c>
      <c r="C34" s="827">
        <v>13586065</v>
      </c>
      <c r="D34" s="827">
        <v>2489093</v>
      </c>
      <c r="E34" s="827">
        <v>16075158</v>
      </c>
      <c r="F34" s="827">
        <v>12329611</v>
      </c>
      <c r="G34" s="827">
        <v>301085830.13500041</v>
      </c>
      <c r="H34" s="827">
        <v>62049873.986000001</v>
      </c>
      <c r="I34" s="827">
        <v>363135704.22100037</v>
      </c>
      <c r="J34" s="827">
        <v>192745643.66299999</v>
      </c>
      <c r="K34" s="827">
        <v>2180877</v>
      </c>
      <c r="L34" s="827">
        <v>115463513.15600044</v>
      </c>
      <c r="M34" s="827">
        <v>54445</v>
      </c>
      <c r="N34" s="869"/>
      <c r="O34" s="869"/>
    </row>
    <row r="35" spans="1:15" s="1572" customFormat="1">
      <c r="A35" s="1571"/>
      <c r="B35" s="868" t="s">
        <v>418</v>
      </c>
      <c r="C35" s="827">
        <v>13917098</v>
      </c>
      <c r="D35" s="827">
        <v>2827497</v>
      </c>
      <c r="E35" s="827">
        <v>16744595</v>
      </c>
      <c r="F35" s="827">
        <v>12888624</v>
      </c>
      <c r="G35" s="827">
        <v>299795266.10100019</v>
      </c>
      <c r="H35" s="827">
        <v>65345007.75599999</v>
      </c>
      <c r="I35" s="827">
        <v>365140273.85700017</v>
      </c>
      <c r="J35" s="827">
        <v>194809058.01300001</v>
      </c>
      <c r="K35" s="827">
        <v>2282324</v>
      </c>
      <c r="L35" s="827">
        <v>117506578.84700017</v>
      </c>
      <c r="M35" s="827">
        <v>54852</v>
      </c>
      <c r="N35" s="869"/>
      <c r="O35" s="869"/>
    </row>
    <row r="36" spans="1:15" s="1572" customFormat="1">
      <c r="A36" s="1571"/>
      <c r="B36" s="868" t="s">
        <v>419</v>
      </c>
      <c r="C36" s="827">
        <v>15423395</v>
      </c>
      <c r="D36" s="827">
        <v>3374060</v>
      </c>
      <c r="E36" s="827">
        <v>18797455</v>
      </c>
      <c r="F36" s="827">
        <v>14650675</v>
      </c>
      <c r="G36" s="827">
        <v>317559520.07100046</v>
      </c>
      <c r="H36" s="827">
        <v>74630805.582000002</v>
      </c>
      <c r="I36" s="827">
        <v>392190325.65300047</v>
      </c>
      <c r="J36" s="827">
        <v>207788521.01100001</v>
      </c>
      <c r="K36" s="827">
        <v>2426427</v>
      </c>
      <c r="L36" s="827">
        <v>125569786.87400045</v>
      </c>
      <c r="M36" s="827">
        <v>54801</v>
      </c>
      <c r="N36" s="869"/>
      <c r="O36" s="869"/>
    </row>
    <row r="37" spans="1:15" s="1572" customFormat="1">
      <c r="A37" s="1571"/>
      <c r="B37" s="868" t="s">
        <v>420</v>
      </c>
      <c r="C37" s="827">
        <v>15026933</v>
      </c>
      <c r="D37" s="827">
        <v>3667689</v>
      </c>
      <c r="E37" s="827">
        <v>18694622</v>
      </c>
      <c r="F37" s="827">
        <v>14594979</v>
      </c>
      <c r="G37" s="827">
        <v>302573291.06500053</v>
      </c>
      <c r="H37" s="827">
        <v>82058043.537999988</v>
      </c>
      <c r="I37" s="827">
        <v>384631334.50300062</v>
      </c>
      <c r="J37" s="827">
        <v>214194151.24500003</v>
      </c>
      <c r="K37" s="827">
        <v>2401057</v>
      </c>
      <c r="L37" s="827">
        <v>113233118.25000058</v>
      </c>
      <c r="M37" s="827">
        <v>55155</v>
      </c>
      <c r="N37" s="869"/>
      <c r="O37" s="869"/>
    </row>
    <row r="38" spans="1:15" s="1572" customFormat="1">
      <c r="A38" s="1571"/>
      <c r="B38" s="868" t="s">
        <v>421</v>
      </c>
      <c r="C38" s="827">
        <v>14569735</v>
      </c>
      <c r="D38" s="827">
        <v>3553186</v>
      </c>
      <c r="E38" s="827">
        <v>18122921</v>
      </c>
      <c r="F38" s="827">
        <v>13953636</v>
      </c>
      <c r="G38" s="827">
        <v>317552066.23600096</v>
      </c>
      <c r="H38" s="827">
        <v>72935209.665000007</v>
      </c>
      <c r="I38" s="827">
        <v>390487275.90100092</v>
      </c>
      <c r="J38" s="827">
        <v>199053925.23800001</v>
      </c>
      <c r="K38" s="827">
        <v>2499177</v>
      </c>
      <c r="L38" s="827">
        <v>133822025.08800095</v>
      </c>
      <c r="M38" s="827">
        <v>55252</v>
      </c>
      <c r="N38" s="869"/>
      <c r="O38" s="869"/>
    </row>
    <row r="39" spans="1:15" s="1572" customFormat="1">
      <c r="A39" s="1571"/>
      <c r="B39" s="868" t="s">
        <v>422</v>
      </c>
      <c r="C39" s="827">
        <v>14646432</v>
      </c>
      <c r="D39" s="827">
        <v>3565027</v>
      </c>
      <c r="E39" s="827">
        <v>18211459</v>
      </c>
      <c r="F39" s="827">
        <v>14053202</v>
      </c>
      <c r="G39" s="827">
        <v>314216597.01600099</v>
      </c>
      <c r="H39" s="827">
        <v>73472302.412</v>
      </c>
      <c r="I39" s="827">
        <v>387688899.42800099</v>
      </c>
      <c r="J39" s="827">
        <v>202303330.71200004</v>
      </c>
      <c r="K39" s="827">
        <v>2528169</v>
      </c>
      <c r="L39" s="827">
        <v>128768994.47900102</v>
      </c>
      <c r="M39" s="827">
        <v>55395</v>
      </c>
      <c r="N39" s="869"/>
      <c r="O39" s="869"/>
    </row>
    <row r="40" spans="1:15" s="1572" customFormat="1">
      <c r="A40" s="1571"/>
      <c r="B40" s="868" t="s">
        <v>423</v>
      </c>
      <c r="C40" s="827">
        <v>15250728</v>
      </c>
      <c r="D40" s="827">
        <v>3312308</v>
      </c>
      <c r="E40" s="827">
        <v>18563036</v>
      </c>
      <c r="F40" s="827">
        <v>14324096</v>
      </c>
      <c r="G40" s="827">
        <v>312632159.9780007</v>
      </c>
      <c r="H40" s="827">
        <v>70742898.875</v>
      </c>
      <c r="I40" s="827">
        <v>383375058.85300076</v>
      </c>
      <c r="J40" s="827">
        <v>200120686.067</v>
      </c>
      <c r="K40" s="827">
        <v>2534781</v>
      </c>
      <c r="L40" s="827">
        <v>122161307.34600069</v>
      </c>
      <c r="M40" s="827">
        <v>56022</v>
      </c>
      <c r="N40" s="869"/>
      <c r="O40" s="869"/>
    </row>
    <row r="41" spans="1:15" s="1572" customFormat="1">
      <c r="A41" s="1571"/>
      <c r="B41" s="868" t="s">
        <v>424</v>
      </c>
      <c r="C41" s="827">
        <v>16197253</v>
      </c>
      <c r="D41" s="827">
        <v>3166595</v>
      </c>
      <c r="E41" s="827">
        <v>19363848</v>
      </c>
      <c r="F41" s="827">
        <v>14989679</v>
      </c>
      <c r="G41" s="827">
        <v>340224042.54100114</v>
      </c>
      <c r="H41" s="827">
        <v>67020658.094000004</v>
      </c>
      <c r="I41" s="827">
        <v>407244700.63500112</v>
      </c>
      <c r="J41" s="827">
        <v>207933603.146</v>
      </c>
      <c r="K41" s="827">
        <v>2709498</v>
      </c>
      <c r="L41" s="827">
        <v>136023365.48900113</v>
      </c>
      <c r="M41" s="827">
        <v>56386</v>
      </c>
      <c r="N41" s="869"/>
      <c r="O41" s="869"/>
    </row>
    <row r="42" spans="1:15" s="1572" customFormat="1">
      <c r="A42" s="1571"/>
      <c r="B42" s="868" t="s">
        <v>425</v>
      </c>
      <c r="C42" s="827">
        <v>15675822</v>
      </c>
      <c r="D42" s="827">
        <v>3790126</v>
      </c>
      <c r="E42" s="827">
        <v>19465948</v>
      </c>
      <c r="F42" s="827">
        <v>15315620</v>
      </c>
      <c r="G42" s="827">
        <v>326890805.6850009</v>
      </c>
      <c r="H42" s="827">
        <v>92921000.069000006</v>
      </c>
      <c r="I42" s="827">
        <v>419811806.2540009</v>
      </c>
      <c r="J42" s="827">
        <v>227738763.722</v>
      </c>
      <c r="K42" s="827">
        <v>2534623</v>
      </c>
      <c r="L42" s="827">
        <v>121007319.09800088</v>
      </c>
      <c r="M42" s="827">
        <v>56662</v>
      </c>
      <c r="N42" s="869"/>
      <c r="O42" s="869"/>
    </row>
    <row r="43" spans="1:15" s="1572" customFormat="1">
      <c r="A43" s="1571"/>
      <c r="B43" s="868" t="s">
        <v>426</v>
      </c>
      <c r="C43" s="827">
        <v>17151392</v>
      </c>
      <c r="D43" s="827">
        <v>3688666</v>
      </c>
      <c r="E43" s="827">
        <v>20840058</v>
      </c>
      <c r="F43" s="827">
        <v>16535694</v>
      </c>
      <c r="G43" s="827">
        <v>350043934.81000125</v>
      </c>
      <c r="H43" s="827">
        <v>87508628.141000003</v>
      </c>
      <c r="I43" s="827">
        <v>437552562.95100135</v>
      </c>
      <c r="J43" s="827">
        <v>240817176.984</v>
      </c>
      <c r="K43" s="827">
        <v>2796788</v>
      </c>
      <c r="L43" s="827">
        <v>127634815.09300129</v>
      </c>
      <c r="M43" s="827">
        <v>57075</v>
      </c>
      <c r="N43" s="869"/>
      <c r="O43" s="869"/>
    </row>
    <row r="44" spans="1:15">
      <c r="A44" s="1534"/>
      <c r="B44" s="1573"/>
      <c r="C44" s="1573"/>
      <c r="D44" s="1573"/>
      <c r="E44" s="1573"/>
      <c r="F44" s="1573"/>
      <c r="G44" s="1573"/>
      <c r="H44" s="1573"/>
      <c r="I44" s="1573"/>
      <c r="J44" s="1573"/>
      <c r="K44" s="1573"/>
      <c r="L44" s="1573"/>
      <c r="M44" s="1573"/>
    </row>
    <row r="45" spans="1:15">
      <c r="A45" s="1535"/>
      <c r="B45" s="1574"/>
      <c r="C45" s="1574"/>
      <c r="D45" s="1574"/>
      <c r="E45" s="1574"/>
      <c r="F45" s="1574"/>
      <c r="G45" s="1574"/>
      <c r="H45" s="1574"/>
      <c r="I45" s="1574"/>
      <c r="J45" s="1574"/>
      <c r="K45" s="1574"/>
      <c r="L45" s="1574"/>
      <c r="M45" s="1574"/>
    </row>
    <row r="46" spans="1:15">
      <c r="A46" s="1535"/>
      <c r="B46" s="1574"/>
      <c r="C46" s="1574"/>
      <c r="D46" s="1574"/>
      <c r="E46" s="1574"/>
      <c r="F46" s="1574"/>
      <c r="G46" s="1574"/>
      <c r="H46" s="1574"/>
      <c r="I46" s="1574"/>
      <c r="J46" s="1574"/>
      <c r="K46" s="1574"/>
      <c r="L46" s="1574"/>
      <c r="M46" s="1574"/>
    </row>
    <row r="47" spans="1:15">
      <c r="A47" s="1536" t="s">
        <v>1261</v>
      </c>
      <c r="B47" s="1536"/>
      <c r="C47" s="1536"/>
      <c r="D47" s="1536"/>
      <c r="E47" s="1536"/>
      <c r="F47" s="1536"/>
      <c r="G47" s="1536"/>
      <c r="H47" s="1536"/>
      <c r="I47" s="1536"/>
      <c r="J47" s="1536"/>
      <c r="K47" s="1536"/>
      <c r="L47" s="1536"/>
      <c r="M47" s="1536"/>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S41"/>
  <sheetViews>
    <sheetView topLeftCell="H1" zoomScale="70" zoomScaleNormal="70" workbookViewId="0">
      <selection activeCell="A11" sqref="B12"/>
    </sheetView>
  </sheetViews>
  <sheetFormatPr defaultColWidth="18.28515625" defaultRowHeight="15"/>
  <cols>
    <col min="1" max="1" width="6.140625" style="1561" customWidth="1"/>
    <col min="2" max="2" width="45.85546875" style="1537" customWidth="1"/>
    <col min="3" max="3" width="15" style="1537" bestFit="1" customWidth="1"/>
    <col min="4" max="4" width="15.5703125" style="1537" bestFit="1" customWidth="1"/>
    <col min="5" max="5" width="15" style="1537" bestFit="1" customWidth="1"/>
    <col min="6" max="6" width="15.5703125" style="1537" bestFit="1" customWidth="1"/>
    <col min="7" max="7" width="15" style="1537" bestFit="1" customWidth="1"/>
    <col min="8" max="8" width="15.5703125" style="1537" bestFit="1" customWidth="1"/>
    <col min="9" max="9" width="15" style="1537" bestFit="1" customWidth="1"/>
    <col min="10" max="10" width="15.5703125" style="1537" bestFit="1" customWidth="1"/>
    <col min="11" max="11" width="15" style="1537" bestFit="1" customWidth="1"/>
    <col min="12" max="12" width="15.5703125" style="1537" bestFit="1" customWidth="1"/>
    <col min="13" max="13" width="15" style="1537" bestFit="1" customWidth="1"/>
    <col min="14" max="14" width="15.5703125" style="1537" bestFit="1" customWidth="1"/>
    <col min="15" max="15" width="15" style="1537" bestFit="1" customWidth="1"/>
    <col min="16" max="16" width="15.5703125" style="1537" bestFit="1" customWidth="1"/>
    <col min="17" max="17" width="46.7109375" style="1537" customWidth="1"/>
    <col min="18" max="18" width="18.28515625" style="1537"/>
    <col min="19" max="19" width="0" style="1537" hidden="1" customWidth="1"/>
    <col min="20" max="16384" width="18.28515625" style="1537"/>
  </cols>
  <sheetData>
    <row r="1" spans="1:19" ht="18" customHeight="1">
      <c r="A1" s="977" t="s">
        <v>1751</v>
      </c>
      <c r="B1" s="976"/>
      <c r="C1" s="976"/>
      <c r="D1" s="976"/>
      <c r="E1" s="976"/>
      <c r="F1" s="976"/>
      <c r="G1" s="976"/>
      <c r="H1" s="976"/>
      <c r="I1" s="976"/>
      <c r="J1" s="976"/>
      <c r="K1" s="976"/>
      <c r="L1" s="976"/>
      <c r="M1" s="976"/>
      <c r="N1" s="976"/>
      <c r="O1" s="976"/>
      <c r="P1" s="976"/>
      <c r="Q1" s="976"/>
    </row>
    <row r="2" spans="1:19" ht="18" customHeight="1">
      <c r="A2" s="977" t="s">
        <v>1262</v>
      </c>
      <c r="B2" s="1538"/>
      <c r="C2" s="1538"/>
      <c r="D2" s="1538"/>
      <c r="E2" s="1538"/>
      <c r="F2" s="1538"/>
      <c r="G2" s="1538"/>
      <c r="H2" s="1538"/>
      <c r="I2" s="1538"/>
      <c r="J2" s="1538"/>
      <c r="K2" s="1538"/>
      <c r="L2" s="1538"/>
      <c r="M2" s="1538"/>
      <c r="N2" s="1538"/>
      <c r="O2" s="1538"/>
      <c r="P2" s="1538"/>
      <c r="Q2" s="1538"/>
    </row>
    <row r="3" spans="1:19" ht="18">
      <c r="A3" s="977" t="s">
        <v>1263</v>
      </c>
      <c r="B3" s="976"/>
      <c r="C3" s="976"/>
      <c r="D3" s="976"/>
      <c r="E3" s="976"/>
      <c r="F3" s="976"/>
      <c r="G3" s="976"/>
      <c r="H3" s="976"/>
      <c r="I3" s="976"/>
      <c r="J3" s="976"/>
      <c r="K3" s="976"/>
      <c r="L3" s="976"/>
      <c r="M3" s="976"/>
      <c r="N3" s="976"/>
      <c r="O3" s="976"/>
      <c r="P3" s="976"/>
      <c r="Q3" s="976"/>
    </row>
    <row r="4" spans="1:19" ht="4.5" customHeight="1">
      <c r="A4" s="976"/>
      <c r="B4" s="976"/>
      <c r="C4" s="1539"/>
      <c r="D4" s="1539"/>
      <c r="E4" s="1539"/>
      <c r="F4" s="1539"/>
      <c r="G4" s="1539"/>
      <c r="H4" s="1539"/>
      <c r="I4" s="1539"/>
      <c r="J4" s="1539"/>
      <c r="K4" s="1539"/>
      <c r="L4" s="1539"/>
      <c r="M4" s="1539"/>
      <c r="N4" s="1539"/>
      <c r="O4" s="1539"/>
      <c r="P4" s="1539"/>
      <c r="Q4" s="976"/>
    </row>
    <row r="5" spans="1:19" ht="15.75" hidden="1" customHeight="1">
      <c r="A5" s="976"/>
      <c r="B5" s="976"/>
      <c r="C5" s="1539"/>
      <c r="D5" s="1539"/>
      <c r="E5" s="1539"/>
      <c r="F5" s="1539"/>
      <c r="G5" s="1539"/>
      <c r="H5" s="1539"/>
      <c r="I5" s="1539"/>
      <c r="J5" s="1539"/>
      <c r="K5" s="1539"/>
      <c r="L5" s="1539"/>
      <c r="M5" s="1539"/>
      <c r="N5" s="1539"/>
      <c r="O5" s="1539"/>
      <c r="P5" s="1539"/>
      <c r="Q5" s="976"/>
    </row>
    <row r="6" spans="1:19" ht="15.75" hidden="1" customHeight="1">
      <c r="A6" s="976"/>
      <c r="B6" s="976"/>
      <c r="C6" s="1539"/>
      <c r="D6" s="1539"/>
      <c r="E6" s="1539"/>
      <c r="F6" s="1539"/>
      <c r="G6" s="1539"/>
      <c r="H6" s="1539"/>
      <c r="I6" s="1539"/>
      <c r="J6" s="1539"/>
      <c r="K6" s="1539"/>
      <c r="L6" s="1539"/>
      <c r="M6" s="1539"/>
      <c r="N6" s="1539"/>
      <c r="O6" s="1539"/>
      <c r="P6" s="1539"/>
      <c r="Q6" s="976"/>
    </row>
    <row r="7" spans="1:19" ht="15.75" hidden="1" customHeight="1">
      <c r="A7" s="976"/>
      <c r="B7" s="976"/>
      <c r="C7" s="1539"/>
      <c r="D7" s="1539"/>
      <c r="E7" s="1539"/>
      <c r="F7" s="1539"/>
      <c r="G7" s="1539"/>
      <c r="H7" s="1539"/>
      <c r="I7" s="1539"/>
      <c r="J7" s="1539"/>
      <c r="K7" s="1539"/>
      <c r="L7" s="1539"/>
      <c r="M7" s="1539"/>
      <c r="N7" s="1539"/>
      <c r="O7" s="1539"/>
      <c r="P7" s="1539"/>
      <c r="Q7" s="976"/>
    </row>
    <row r="8" spans="1:19">
      <c r="A8" s="853" t="s">
        <v>1264</v>
      </c>
      <c r="D8" s="853"/>
      <c r="F8" s="853"/>
      <c r="H8" s="853"/>
      <c r="J8" s="853"/>
      <c r="L8" s="853"/>
      <c r="N8" s="853"/>
      <c r="P8" s="853"/>
      <c r="Q8" s="853" t="s">
        <v>1265</v>
      </c>
    </row>
    <row r="9" spans="1:19" s="1542" customFormat="1" ht="20.25" customHeight="1">
      <c r="A9" s="1540"/>
      <c r="B9" s="1540" t="s">
        <v>860</v>
      </c>
      <c r="C9" s="1541">
        <v>2024</v>
      </c>
      <c r="D9" s="1541"/>
      <c r="E9" s="1541"/>
      <c r="F9" s="1541"/>
      <c r="G9" s="1541"/>
      <c r="H9" s="1541"/>
      <c r="I9" s="1541"/>
      <c r="J9" s="1541"/>
      <c r="K9" s="1541"/>
      <c r="L9" s="1541"/>
      <c r="M9" s="1541"/>
      <c r="N9" s="1541"/>
      <c r="O9" s="1541"/>
      <c r="P9" s="1541"/>
      <c r="Q9" s="1540" t="s">
        <v>861</v>
      </c>
    </row>
    <row r="10" spans="1:19" s="1542" customFormat="1" ht="20.25" customHeight="1">
      <c r="A10" s="1543"/>
      <c r="B10" s="1543"/>
      <c r="C10" s="1544" t="s">
        <v>1680</v>
      </c>
      <c r="D10" s="1545"/>
      <c r="E10" s="1544" t="s">
        <v>1686</v>
      </c>
      <c r="F10" s="1545"/>
      <c r="G10" s="1544" t="s">
        <v>1694</v>
      </c>
      <c r="H10" s="1545"/>
      <c r="I10" s="1544" t="s">
        <v>1700</v>
      </c>
      <c r="J10" s="1545"/>
      <c r="K10" s="1544" t="s">
        <v>1706</v>
      </c>
      <c r="L10" s="1545"/>
      <c r="M10" s="1544" t="s">
        <v>1713</v>
      </c>
      <c r="N10" s="1545"/>
      <c r="O10" s="1544" t="s">
        <v>1721</v>
      </c>
      <c r="P10" s="1545"/>
      <c r="Q10" s="1543"/>
    </row>
    <row r="11" spans="1:19" s="1542" customFormat="1" ht="15.75">
      <c r="A11" s="1543"/>
      <c r="B11" s="1543"/>
      <c r="C11" s="944" t="s">
        <v>1248</v>
      </c>
      <c r="D11" s="944" t="s">
        <v>1217</v>
      </c>
      <c r="E11" s="944" t="s">
        <v>1248</v>
      </c>
      <c r="F11" s="944" t="s">
        <v>1217</v>
      </c>
      <c r="G11" s="944" t="s">
        <v>1248</v>
      </c>
      <c r="H11" s="944" t="s">
        <v>1217</v>
      </c>
      <c r="I11" s="944" t="s">
        <v>1248</v>
      </c>
      <c r="J11" s="944" t="s">
        <v>1217</v>
      </c>
      <c r="K11" s="944" t="s">
        <v>1248</v>
      </c>
      <c r="L11" s="944" t="s">
        <v>1217</v>
      </c>
      <c r="M11" s="944" t="s">
        <v>1248</v>
      </c>
      <c r="N11" s="944" t="s">
        <v>1217</v>
      </c>
      <c r="O11" s="944" t="s">
        <v>1248</v>
      </c>
      <c r="P11" s="944" t="s">
        <v>1217</v>
      </c>
      <c r="Q11" s="1543"/>
    </row>
    <row r="12" spans="1:19" s="1547" customFormat="1" ht="15.75">
      <c r="A12" s="1546"/>
      <c r="B12" s="1546"/>
      <c r="C12" s="974" t="s">
        <v>1266</v>
      </c>
      <c r="D12" s="974" t="s">
        <v>1219</v>
      </c>
      <c r="E12" s="974" t="s">
        <v>1266</v>
      </c>
      <c r="F12" s="974" t="s">
        <v>1219</v>
      </c>
      <c r="G12" s="974" t="s">
        <v>1266</v>
      </c>
      <c r="H12" s="974" t="s">
        <v>1219</v>
      </c>
      <c r="I12" s="974" t="s">
        <v>1266</v>
      </c>
      <c r="J12" s="974" t="s">
        <v>1219</v>
      </c>
      <c r="K12" s="974" t="s">
        <v>1266</v>
      </c>
      <c r="L12" s="974" t="s">
        <v>1219</v>
      </c>
      <c r="M12" s="974" t="s">
        <v>1266</v>
      </c>
      <c r="N12" s="974" t="s">
        <v>1219</v>
      </c>
      <c r="O12" s="974" t="s">
        <v>1266</v>
      </c>
      <c r="P12" s="974" t="s">
        <v>1219</v>
      </c>
      <c r="Q12" s="1546"/>
    </row>
    <row r="13" spans="1:19" ht="31.5" customHeight="1">
      <c r="A13" s="951">
        <v>1</v>
      </c>
      <c r="B13" s="1548" t="s">
        <v>895</v>
      </c>
      <c r="C13" s="1121">
        <v>8300</v>
      </c>
      <c r="D13" s="1121">
        <v>3076523.4180000001</v>
      </c>
      <c r="E13" s="1121">
        <v>4300</v>
      </c>
      <c r="F13" s="1121">
        <v>1589340.058</v>
      </c>
      <c r="G13" s="1121">
        <v>9050</v>
      </c>
      <c r="H13" s="1121">
        <v>5031057.6129999999</v>
      </c>
      <c r="I13" s="1121">
        <v>13469</v>
      </c>
      <c r="J13" s="1121">
        <v>5007589.0159999998</v>
      </c>
      <c r="K13" s="1121">
        <v>10866</v>
      </c>
      <c r="L13" s="1121">
        <v>3107613.9789999998</v>
      </c>
      <c r="M13" s="1121">
        <v>11958</v>
      </c>
      <c r="N13" s="1121">
        <v>3324503.6070000003</v>
      </c>
      <c r="O13" s="1121">
        <v>152713</v>
      </c>
      <c r="P13" s="1121">
        <v>4834543.5460000001</v>
      </c>
      <c r="Q13" s="1549" t="s">
        <v>896</v>
      </c>
      <c r="S13" s="1565" t="e">
        <f>ROUND(#REF!,0)</f>
        <v>#REF!</v>
      </c>
    </row>
    <row r="14" spans="1:19" ht="43.5" customHeight="1">
      <c r="A14" s="951">
        <v>2</v>
      </c>
      <c r="B14" s="1550" t="s">
        <v>1267</v>
      </c>
      <c r="C14" s="1121">
        <v>18726</v>
      </c>
      <c r="D14" s="1121">
        <v>1670096.335</v>
      </c>
      <c r="E14" s="1121">
        <v>19012</v>
      </c>
      <c r="F14" s="1121">
        <v>1766596.2040000001</v>
      </c>
      <c r="G14" s="1121">
        <v>18239</v>
      </c>
      <c r="H14" s="1121">
        <v>1520380.8460000001</v>
      </c>
      <c r="I14" s="1121">
        <v>16344</v>
      </c>
      <c r="J14" s="1121">
        <v>1415904.3900000004</v>
      </c>
      <c r="K14" s="1121">
        <v>15824</v>
      </c>
      <c r="L14" s="1121">
        <v>1382226.578</v>
      </c>
      <c r="M14" s="1121">
        <v>16074</v>
      </c>
      <c r="N14" s="1121">
        <v>1553990.7590000001</v>
      </c>
      <c r="O14" s="1121">
        <v>16187</v>
      </c>
      <c r="P14" s="1121">
        <v>1946827.8530000001</v>
      </c>
      <c r="Q14" s="1551" t="s">
        <v>1268</v>
      </c>
      <c r="S14" s="1565" t="e">
        <f>ROUND(#REF!,0)</f>
        <v>#REF!</v>
      </c>
    </row>
    <row r="15" spans="1:19" ht="31.5" customHeight="1">
      <c r="A15" s="951">
        <v>3</v>
      </c>
      <c r="B15" s="1550" t="s">
        <v>1269</v>
      </c>
      <c r="C15" s="1121">
        <v>1108749</v>
      </c>
      <c r="D15" s="1121">
        <v>8687293.5840000007</v>
      </c>
      <c r="E15" s="1121">
        <v>1016297</v>
      </c>
      <c r="F15" s="1121">
        <v>7392171.8990000002</v>
      </c>
      <c r="G15" s="1121">
        <v>1021342</v>
      </c>
      <c r="H15" s="1121">
        <v>7395052.3650000002</v>
      </c>
      <c r="I15" s="1121">
        <v>1060834</v>
      </c>
      <c r="J15" s="1121">
        <v>7793547.3790000007</v>
      </c>
      <c r="K15" s="1121">
        <v>1107955</v>
      </c>
      <c r="L15" s="1121">
        <v>7904163.4020000007</v>
      </c>
      <c r="M15" s="1121">
        <v>1129869</v>
      </c>
      <c r="N15" s="1121">
        <v>8076540.8789999997</v>
      </c>
      <c r="O15" s="1121">
        <v>1228395</v>
      </c>
      <c r="P15" s="1121">
        <v>9196072.9809999987</v>
      </c>
      <c r="Q15" s="1551" t="s">
        <v>1270</v>
      </c>
      <c r="S15" s="1565" t="e">
        <f>ROUND(#REF!,0)</f>
        <v>#REF!</v>
      </c>
    </row>
    <row r="16" spans="1:19" ht="31.5" customHeight="1">
      <c r="A16" s="951">
        <v>4</v>
      </c>
      <c r="B16" s="1550" t="s">
        <v>1271</v>
      </c>
      <c r="C16" s="1121">
        <v>193260</v>
      </c>
      <c r="D16" s="1121">
        <v>4411586.0669999998</v>
      </c>
      <c r="E16" s="1121">
        <v>187740</v>
      </c>
      <c r="F16" s="1121">
        <v>4566551.6519999998</v>
      </c>
      <c r="G16" s="1121">
        <v>181977</v>
      </c>
      <c r="H16" s="1121">
        <v>4297205.4059999995</v>
      </c>
      <c r="I16" s="1121">
        <v>206565</v>
      </c>
      <c r="J16" s="1121">
        <v>4761090.5049999999</v>
      </c>
      <c r="K16" s="1121">
        <v>219920</v>
      </c>
      <c r="L16" s="1121">
        <v>4995224.9970000004</v>
      </c>
      <c r="M16" s="1121">
        <v>217285</v>
      </c>
      <c r="N16" s="1121">
        <v>4734972.8140000002</v>
      </c>
      <c r="O16" s="1121">
        <v>213284</v>
      </c>
      <c r="P16" s="1121">
        <v>4650233.3230000008</v>
      </c>
      <c r="Q16" s="1551" t="s">
        <v>1272</v>
      </c>
      <c r="S16" s="1565" t="e">
        <f>ROUND(#REF!,0)</f>
        <v>#REF!</v>
      </c>
    </row>
    <row r="17" spans="1:19" ht="31.5" customHeight="1">
      <c r="A17" s="951">
        <v>5</v>
      </c>
      <c r="B17" s="1550" t="s">
        <v>1273</v>
      </c>
      <c r="C17" s="1121">
        <v>285993</v>
      </c>
      <c r="D17" s="1121">
        <v>77549381.118000001</v>
      </c>
      <c r="E17" s="1121">
        <v>316901</v>
      </c>
      <c r="F17" s="1121">
        <v>98683355.584999993</v>
      </c>
      <c r="G17" s="1121">
        <v>297501</v>
      </c>
      <c r="H17" s="1121">
        <v>94590784.230000004</v>
      </c>
      <c r="I17" s="1121">
        <v>299819</v>
      </c>
      <c r="J17" s="1121">
        <v>87497180.127999991</v>
      </c>
      <c r="K17" s="1121">
        <v>328815</v>
      </c>
      <c r="L17" s="1121">
        <v>104005131.89999999</v>
      </c>
      <c r="M17" s="1121">
        <v>299382</v>
      </c>
      <c r="N17" s="1121">
        <v>91076856.316999987</v>
      </c>
      <c r="O17" s="1121">
        <v>264007</v>
      </c>
      <c r="P17" s="1121">
        <v>80282481.540999994</v>
      </c>
      <c r="Q17" s="1551" t="s">
        <v>1274</v>
      </c>
      <c r="S17" s="1565" t="e">
        <f>ROUND(#REF!,0)</f>
        <v>#REF!</v>
      </c>
    </row>
    <row r="18" spans="1:19" ht="47.25">
      <c r="A18" s="951">
        <v>6</v>
      </c>
      <c r="B18" s="1550" t="s">
        <v>1275</v>
      </c>
      <c r="C18" s="1121">
        <v>44548</v>
      </c>
      <c r="D18" s="1121">
        <v>2680325.463</v>
      </c>
      <c r="E18" s="1121">
        <v>43609</v>
      </c>
      <c r="F18" s="1121">
        <v>2853297.73</v>
      </c>
      <c r="G18" s="1121">
        <v>47017</v>
      </c>
      <c r="H18" s="1121">
        <v>2861556.2790000001</v>
      </c>
      <c r="I18" s="1121">
        <v>51416</v>
      </c>
      <c r="J18" s="1121">
        <v>2975791.6239999998</v>
      </c>
      <c r="K18" s="1121">
        <v>58061</v>
      </c>
      <c r="L18" s="1121">
        <v>3545129.5799999996</v>
      </c>
      <c r="M18" s="1121">
        <v>59750</v>
      </c>
      <c r="N18" s="1121">
        <v>3452986.3840000001</v>
      </c>
      <c r="O18" s="1121">
        <v>79904</v>
      </c>
      <c r="P18" s="1121">
        <v>3428387.8120000004</v>
      </c>
      <c r="Q18" s="1552" t="s">
        <v>1276</v>
      </c>
      <c r="S18" s="1565" t="e">
        <f>ROUND(#REF!,0)</f>
        <v>#REF!</v>
      </c>
    </row>
    <row r="19" spans="1:19" ht="31.5" customHeight="1">
      <c r="A19" s="951">
        <v>7</v>
      </c>
      <c r="B19" s="1550" t="s">
        <v>1277</v>
      </c>
      <c r="C19" s="1121">
        <v>940775</v>
      </c>
      <c r="D19" s="1121">
        <v>10869538.603999998</v>
      </c>
      <c r="E19" s="1121">
        <v>901026</v>
      </c>
      <c r="F19" s="1121">
        <v>10418153.816999998</v>
      </c>
      <c r="G19" s="1121">
        <v>926327</v>
      </c>
      <c r="H19" s="1121">
        <v>10872027.538000001</v>
      </c>
      <c r="I19" s="1121">
        <v>1061448</v>
      </c>
      <c r="J19" s="1121">
        <v>12739697.639</v>
      </c>
      <c r="K19" s="1121">
        <v>1111110</v>
      </c>
      <c r="L19" s="1121">
        <v>13094723.359999999</v>
      </c>
      <c r="M19" s="1121">
        <v>1084405</v>
      </c>
      <c r="N19" s="1121">
        <v>12595957.352000002</v>
      </c>
      <c r="O19" s="1121">
        <v>1048722</v>
      </c>
      <c r="P19" s="1121">
        <v>13093183.203</v>
      </c>
      <c r="Q19" s="1551" t="s">
        <v>1278</v>
      </c>
      <c r="S19" s="1565" t="e">
        <f>ROUND(#REF!,0)</f>
        <v>#REF!</v>
      </c>
    </row>
    <row r="20" spans="1:19" ht="31.5" customHeight="1">
      <c r="A20" s="951">
        <v>8</v>
      </c>
      <c r="B20" s="1550" t="s">
        <v>1279</v>
      </c>
      <c r="C20" s="1121">
        <v>12255</v>
      </c>
      <c r="D20" s="1121">
        <v>3969847.2970000003</v>
      </c>
      <c r="E20" s="1121">
        <v>9600</v>
      </c>
      <c r="F20" s="1121">
        <v>3839800.5219999999</v>
      </c>
      <c r="G20" s="1121">
        <v>8747</v>
      </c>
      <c r="H20" s="1121">
        <v>3044191.8670000001</v>
      </c>
      <c r="I20" s="1121">
        <v>9110</v>
      </c>
      <c r="J20" s="1121">
        <v>3306959.4169999999</v>
      </c>
      <c r="K20" s="1121">
        <v>11405</v>
      </c>
      <c r="L20" s="1121">
        <v>4950113.2279999992</v>
      </c>
      <c r="M20" s="1121">
        <v>14473</v>
      </c>
      <c r="N20" s="1121">
        <v>9793831.352</v>
      </c>
      <c r="O20" s="1121">
        <v>12365</v>
      </c>
      <c r="P20" s="1121">
        <v>8605988.8769999985</v>
      </c>
      <c r="Q20" s="1551" t="s">
        <v>1280</v>
      </c>
      <c r="S20" s="1565" t="e">
        <f>ROUND(#REF!,0)</f>
        <v>#REF!</v>
      </c>
    </row>
    <row r="21" spans="1:19" ht="31.5" customHeight="1">
      <c r="A21" s="951">
        <v>9</v>
      </c>
      <c r="B21" s="1550" t="s">
        <v>1281</v>
      </c>
      <c r="C21" s="1121">
        <v>168858</v>
      </c>
      <c r="D21" s="1121">
        <v>3828178.4729999998</v>
      </c>
      <c r="E21" s="1121">
        <v>141670</v>
      </c>
      <c r="F21" s="1121">
        <v>3410040.102</v>
      </c>
      <c r="G21" s="1121">
        <v>152632</v>
      </c>
      <c r="H21" s="1121">
        <v>3321340.946</v>
      </c>
      <c r="I21" s="1121">
        <v>157509</v>
      </c>
      <c r="J21" s="1121">
        <v>2965030.7069999999</v>
      </c>
      <c r="K21" s="1121">
        <v>159970</v>
      </c>
      <c r="L21" s="1121">
        <v>3334433.6780000003</v>
      </c>
      <c r="M21" s="1121">
        <v>166396</v>
      </c>
      <c r="N21" s="1121">
        <v>3390582.6699999995</v>
      </c>
      <c r="O21" s="1121">
        <v>193712</v>
      </c>
      <c r="P21" s="1121">
        <v>4326821.9519999996</v>
      </c>
      <c r="Q21" s="1551" t="s">
        <v>1282</v>
      </c>
      <c r="S21" s="1565" t="e">
        <f>ROUND(#REF!,0)</f>
        <v>#REF!</v>
      </c>
    </row>
    <row r="22" spans="1:19" ht="31.5" customHeight="1">
      <c r="A22" s="951">
        <v>10</v>
      </c>
      <c r="B22" s="1550" t="s">
        <v>1283</v>
      </c>
      <c r="C22" s="1121">
        <v>158361</v>
      </c>
      <c r="D22" s="1121">
        <v>4647530.7609999999</v>
      </c>
      <c r="E22" s="1320">
        <v>129004</v>
      </c>
      <c r="F22" s="1121">
        <v>3494065.6639999999</v>
      </c>
      <c r="G22" s="1121">
        <v>121242</v>
      </c>
      <c r="H22" s="1121">
        <v>3319671.8650000002</v>
      </c>
      <c r="I22" s="1121">
        <v>110033</v>
      </c>
      <c r="J22" s="1121">
        <v>2987039.3939999994</v>
      </c>
      <c r="K22" s="1121">
        <v>107188</v>
      </c>
      <c r="L22" s="1121">
        <v>3019537.341</v>
      </c>
      <c r="M22" s="1121">
        <v>122171</v>
      </c>
      <c r="N22" s="1121">
        <v>3510141.0069999998</v>
      </c>
      <c r="O22" s="1121">
        <v>171400</v>
      </c>
      <c r="P22" s="1121">
        <v>5004426.3210000005</v>
      </c>
      <c r="Q22" s="1551" t="s">
        <v>1284</v>
      </c>
      <c r="S22" s="1565" t="e">
        <f>ROUND(#REF!,0)</f>
        <v>#REF!</v>
      </c>
    </row>
    <row r="23" spans="1:19" ht="31.5" customHeight="1">
      <c r="A23" s="951">
        <v>11</v>
      </c>
      <c r="B23" s="1550" t="s">
        <v>1285</v>
      </c>
      <c r="C23" s="1121">
        <v>44535</v>
      </c>
      <c r="D23" s="1121">
        <v>3573390.9409999996</v>
      </c>
      <c r="E23" s="1121">
        <v>39462</v>
      </c>
      <c r="F23" s="1121">
        <v>2972388.321</v>
      </c>
      <c r="G23" s="1121">
        <v>40002</v>
      </c>
      <c r="H23" s="1121">
        <v>2965247.9710000004</v>
      </c>
      <c r="I23" s="1121">
        <v>42579</v>
      </c>
      <c r="J23" s="1121">
        <v>3242265.7800000003</v>
      </c>
      <c r="K23" s="1121">
        <v>44434</v>
      </c>
      <c r="L23" s="1121">
        <v>3208162.2079999996</v>
      </c>
      <c r="M23" s="1121">
        <v>46234</v>
      </c>
      <c r="N23" s="1121">
        <v>3402866.3219999997</v>
      </c>
      <c r="O23" s="1121">
        <v>64611</v>
      </c>
      <c r="P23" s="1121">
        <v>3438699.34</v>
      </c>
      <c r="Q23" s="1551" t="s">
        <v>1286</v>
      </c>
      <c r="S23" s="1565" t="e">
        <f>ROUND(#REF!,0)</f>
        <v>#REF!</v>
      </c>
    </row>
    <row r="24" spans="1:19" ht="30" customHeight="1">
      <c r="A24" s="951">
        <v>12</v>
      </c>
      <c r="B24" s="1550" t="s">
        <v>1287</v>
      </c>
      <c r="C24" s="1121">
        <v>25089</v>
      </c>
      <c r="D24" s="1121">
        <v>2032524.301</v>
      </c>
      <c r="E24" s="1121">
        <v>30019</v>
      </c>
      <c r="F24" s="1121">
        <v>2541369.9949999996</v>
      </c>
      <c r="G24" s="1121">
        <v>27938</v>
      </c>
      <c r="H24" s="1121">
        <v>2232999.7579999999</v>
      </c>
      <c r="I24" s="1121">
        <v>28958</v>
      </c>
      <c r="J24" s="1121">
        <v>2310048.3370000003</v>
      </c>
      <c r="K24" s="1121">
        <v>31936</v>
      </c>
      <c r="L24" s="1121">
        <v>2681303.5950000002</v>
      </c>
      <c r="M24" s="1121">
        <v>33531</v>
      </c>
      <c r="N24" s="1121">
        <v>2514914.835</v>
      </c>
      <c r="O24" s="1121">
        <v>41345</v>
      </c>
      <c r="P24" s="1121">
        <v>2947295.6330000004</v>
      </c>
      <c r="Q24" s="1551" t="s">
        <v>1288</v>
      </c>
      <c r="S24" s="1565" t="e">
        <f>ROUND(#REF!,0)</f>
        <v>#REF!</v>
      </c>
    </row>
    <row r="25" spans="1:19" ht="31.5" customHeight="1">
      <c r="A25" s="951">
        <v>13</v>
      </c>
      <c r="B25" s="1550" t="s">
        <v>1289</v>
      </c>
      <c r="C25" s="1121">
        <v>178576</v>
      </c>
      <c r="D25" s="1121">
        <v>5358126.2190000005</v>
      </c>
      <c r="E25" s="1121">
        <v>189708</v>
      </c>
      <c r="F25" s="1121">
        <v>5953897.841</v>
      </c>
      <c r="G25" s="1121">
        <v>185976</v>
      </c>
      <c r="H25" s="1121">
        <v>5656322.5190000003</v>
      </c>
      <c r="I25" s="1121">
        <v>185088</v>
      </c>
      <c r="J25" s="1121">
        <v>5844821.1889999993</v>
      </c>
      <c r="K25" s="1121">
        <v>200781</v>
      </c>
      <c r="L25" s="1121">
        <v>6294188.0220000008</v>
      </c>
      <c r="M25" s="1121">
        <v>186037</v>
      </c>
      <c r="N25" s="1121">
        <v>5805660.0729999989</v>
      </c>
      <c r="O25" s="1121">
        <v>141928</v>
      </c>
      <c r="P25" s="1121">
        <v>4774351.8</v>
      </c>
      <c r="Q25" s="1551" t="s">
        <v>1290</v>
      </c>
      <c r="S25" s="1565" t="e">
        <f>ROUND(#REF!,0)</f>
        <v>#REF!</v>
      </c>
    </row>
    <row r="26" spans="1:19" ht="31.5" customHeight="1">
      <c r="A26" s="951">
        <v>14</v>
      </c>
      <c r="B26" s="1550" t="s">
        <v>1291</v>
      </c>
      <c r="C26" s="1121">
        <v>4881</v>
      </c>
      <c r="D26" s="1121">
        <v>297553.90900000004</v>
      </c>
      <c r="E26" s="1121">
        <v>4736</v>
      </c>
      <c r="F26" s="1121">
        <v>351968.40700000001</v>
      </c>
      <c r="G26" s="1121">
        <v>4852</v>
      </c>
      <c r="H26" s="1121">
        <v>337690.24600000004</v>
      </c>
      <c r="I26" s="1121">
        <v>4957</v>
      </c>
      <c r="J26" s="1121">
        <v>349651.90899999999</v>
      </c>
      <c r="K26" s="1121">
        <v>5406</v>
      </c>
      <c r="L26" s="1121">
        <v>402990.2</v>
      </c>
      <c r="M26" s="1121">
        <v>5778</v>
      </c>
      <c r="N26" s="1121">
        <v>407896.88500000001</v>
      </c>
      <c r="O26" s="1121">
        <v>15238</v>
      </c>
      <c r="P26" s="1121">
        <v>917942.48499999999</v>
      </c>
      <c r="Q26" s="1551" t="s">
        <v>1292</v>
      </c>
      <c r="S26" s="1565" t="e">
        <f>ROUND(#REF!,0)</f>
        <v>#REF!</v>
      </c>
    </row>
    <row r="27" spans="1:19" ht="31.5">
      <c r="A27" s="951">
        <v>15</v>
      </c>
      <c r="B27" s="1550" t="s">
        <v>1293</v>
      </c>
      <c r="C27" s="1121">
        <v>260013</v>
      </c>
      <c r="D27" s="1121">
        <v>8667039.881000001</v>
      </c>
      <c r="E27" s="1121">
        <v>259315</v>
      </c>
      <c r="F27" s="1121">
        <v>8998948.129999999</v>
      </c>
      <c r="G27" s="1121">
        <v>264777</v>
      </c>
      <c r="H27" s="1121">
        <v>9487253.8599999994</v>
      </c>
      <c r="I27" s="1121">
        <v>286966</v>
      </c>
      <c r="J27" s="1121">
        <v>10251179.300000001</v>
      </c>
      <c r="K27" s="1121">
        <v>307038</v>
      </c>
      <c r="L27" s="1121">
        <v>10863935.67</v>
      </c>
      <c r="M27" s="1121">
        <v>301113</v>
      </c>
      <c r="N27" s="1121">
        <v>9987261.3959999997</v>
      </c>
      <c r="O27" s="1121">
        <v>291469</v>
      </c>
      <c r="P27" s="1121">
        <v>10265457.591</v>
      </c>
      <c r="Q27" s="1551" t="s">
        <v>1294</v>
      </c>
      <c r="S27" s="1565" t="e">
        <f>ROUND(#REF!,0)</f>
        <v>#REF!</v>
      </c>
    </row>
    <row r="28" spans="1:19" ht="31.5" customHeight="1">
      <c r="A28" s="951">
        <v>16</v>
      </c>
      <c r="B28" s="1550" t="s">
        <v>1295</v>
      </c>
      <c r="C28" s="1121">
        <v>5926</v>
      </c>
      <c r="D28" s="1121">
        <v>2226072.7580000004</v>
      </c>
      <c r="E28" s="1121">
        <v>5955</v>
      </c>
      <c r="F28" s="1121">
        <v>2704769.1519999998</v>
      </c>
      <c r="G28" s="1121">
        <v>5658</v>
      </c>
      <c r="H28" s="1121">
        <v>1774806.6410000001</v>
      </c>
      <c r="I28" s="1121">
        <v>5283</v>
      </c>
      <c r="J28" s="1121">
        <v>1417979.7829999998</v>
      </c>
      <c r="K28" s="1121">
        <v>7200</v>
      </c>
      <c r="L28" s="1121">
        <v>1944887.5510000002</v>
      </c>
      <c r="M28" s="1121">
        <v>5736</v>
      </c>
      <c r="N28" s="1121">
        <v>1788487.9280000001</v>
      </c>
      <c r="O28" s="1121">
        <v>7337</v>
      </c>
      <c r="P28" s="1121">
        <v>1847899.4239999999</v>
      </c>
      <c r="Q28" s="1552" t="s">
        <v>1296</v>
      </c>
      <c r="S28" s="1565" t="e">
        <f>ROUND(#REF!,0)</f>
        <v>#REF!</v>
      </c>
    </row>
    <row r="29" spans="1:19" ht="31.5" customHeight="1">
      <c r="A29" s="951">
        <v>17</v>
      </c>
      <c r="B29" s="1550" t="s">
        <v>1297</v>
      </c>
      <c r="C29" s="1121">
        <v>77130</v>
      </c>
      <c r="D29" s="1121">
        <v>1384627.665</v>
      </c>
      <c r="E29" s="1121">
        <v>69475</v>
      </c>
      <c r="F29" s="1121">
        <v>1322517.3950000003</v>
      </c>
      <c r="G29" s="1121">
        <v>65492</v>
      </c>
      <c r="H29" s="1121">
        <v>1100576.2920000001</v>
      </c>
      <c r="I29" s="1121">
        <v>59536</v>
      </c>
      <c r="J29" s="1121">
        <v>1330604.6039999998</v>
      </c>
      <c r="K29" s="1121">
        <v>61377</v>
      </c>
      <c r="L29" s="1121">
        <v>1318421.321</v>
      </c>
      <c r="M29" s="1121">
        <v>67752</v>
      </c>
      <c r="N29" s="1121">
        <v>1351523.6990000003</v>
      </c>
      <c r="O29" s="1121">
        <v>105845</v>
      </c>
      <c r="P29" s="1121">
        <v>1936219.1490000002</v>
      </c>
      <c r="Q29" s="1551" t="s">
        <v>1298</v>
      </c>
      <c r="S29" s="1565" t="e">
        <f>ROUND(#REF!,0)</f>
        <v>#REF!</v>
      </c>
    </row>
    <row r="30" spans="1:19" ht="46.5" customHeight="1">
      <c r="A30" s="951">
        <v>18</v>
      </c>
      <c r="B30" s="1550" t="s">
        <v>1299</v>
      </c>
      <c r="C30" s="1121">
        <v>22187</v>
      </c>
      <c r="D30" s="1121">
        <v>1789199.4560000002</v>
      </c>
      <c r="E30" s="1121">
        <v>21927</v>
      </c>
      <c r="F30" s="1121">
        <v>1790700.3290000001</v>
      </c>
      <c r="G30" s="1121">
        <v>24111</v>
      </c>
      <c r="H30" s="1121">
        <v>1808524.916</v>
      </c>
      <c r="I30" s="1121">
        <v>24788</v>
      </c>
      <c r="J30" s="1121">
        <v>1950987.686</v>
      </c>
      <c r="K30" s="1121">
        <v>23720</v>
      </c>
      <c r="L30" s="1121">
        <v>1952601.3290000004</v>
      </c>
      <c r="M30" s="1121">
        <v>22648</v>
      </c>
      <c r="N30" s="1121">
        <v>1983148.672</v>
      </c>
      <c r="O30" s="1121">
        <v>42457</v>
      </c>
      <c r="P30" s="1121">
        <v>2638940.2539999997</v>
      </c>
      <c r="Q30" s="1551" t="s">
        <v>1300</v>
      </c>
      <c r="S30" s="1565" t="e">
        <f>ROUND(#REF!,0)</f>
        <v>#REF!</v>
      </c>
    </row>
    <row r="31" spans="1:19" ht="31.5" customHeight="1">
      <c r="A31" s="951">
        <v>19</v>
      </c>
      <c r="B31" s="1550" t="s">
        <v>1301</v>
      </c>
      <c r="C31" s="1121">
        <v>8525</v>
      </c>
      <c r="D31" s="1121">
        <v>281198.30500000005</v>
      </c>
      <c r="E31" s="1121">
        <v>7930</v>
      </c>
      <c r="F31" s="1121">
        <v>250013.23699999999</v>
      </c>
      <c r="G31" s="1121">
        <v>9830</v>
      </c>
      <c r="H31" s="1121">
        <v>330845.08799999999</v>
      </c>
      <c r="I31" s="1121">
        <v>14374</v>
      </c>
      <c r="J31" s="1121">
        <v>372785.39599999995</v>
      </c>
      <c r="K31" s="1121">
        <v>11467</v>
      </c>
      <c r="L31" s="1121">
        <v>386396.34100000001</v>
      </c>
      <c r="M31" s="1121">
        <v>11468</v>
      </c>
      <c r="N31" s="1121">
        <v>365882.69500000001</v>
      </c>
      <c r="O31" s="1121">
        <v>50655</v>
      </c>
      <c r="P31" s="1121">
        <v>15428217.877999999</v>
      </c>
      <c r="Q31" s="1551" t="s">
        <v>1302</v>
      </c>
      <c r="S31" s="1565" t="e">
        <f>ROUND(#REF!,0)</f>
        <v>#REF!</v>
      </c>
    </row>
    <row r="32" spans="1:19" ht="31.5" customHeight="1">
      <c r="A32" s="951">
        <v>20</v>
      </c>
      <c r="B32" s="1550" t="s">
        <v>1303</v>
      </c>
      <c r="C32" s="1121">
        <v>213748</v>
      </c>
      <c r="D32" s="1121">
        <v>5811844.4439999983</v>
      </c>
      <c r="E32" s="1121">
        <v>188087</v>
      </c>
      <c r="F32" s="1121">
        <v>5629960.3760000002</v>
      </c>
      <c r="G32" s="1121">
        <v>196793</v>
      </c>
      <c r="H32" s="1121">
        <v>5568371.0959999999</v>
      </c>
      <c r="I32" s="1121">
        <v>183687</v>
      </c>
      <c r="J32" s="1121">
        <v>5475731.132999992</v>
      </c>
      <c r="K32" s="1121">
        <v>179727</v>
      </c>
      <c r="L32" s="1121">
        <v>5319034.9109999994</v>
      </c>
      <c r="M32" s="1121">
        <v>185240</v>
      </c>
      <c r="N32" s="1121">
        <v>7635703.7919999976</v>
      </c>
      <c r="O32" s="1121">
        <v>218153</v>
      </c>
      <c r="P32" s="1121">
        <v>8081161.0880000014</v>
      </c>
      <c r="Q32" s="1551" t="s">
        <v>1304</v>
      </c>
      <c r="S32" s="1565" t="e">
        <f>ROUND(#REF!,0)</f>
        <v>#REF!</v>
      </c>
    </row>
    <row r="33" spans="1:19" s="1555" customFormat="1" ht="31.5" customHeight="1">
      <c r="A33" s="971"/>
      <c r="B33" s="1553" t="s">
        <v>397</v>
      </c>
      <c r="C33" s="994">
        <v>3780435</v>
      </c>
      <c r="D33" s="994">
        <v>152811878.99899998</v>
      </c>
      <c r="E33" s="994">
        <v>3585773</v>
      </c>
      <c r="F33" s="994">
        <v>170529906.41600004</v>
      </c>
      <c r="G33" s="994">
        <v>3609503</v>
      </c>
      <c r="H33" s="994">
        <v>167515907.64199996</v>
      </c>
      <c r="I33" s="994">
        <v>3822763</v>
      </c>
      <c r="J33" s="994">
        <v>163995885.31599998</v>
      </c>
      <c r="K33" s="994">
        <v>4004200</v>
      </c>
      <c r="L33" s="994">
        <v>183710218.79099998</v>
      </c>
      <c r="M33" s="994">
        <v>3987300</v>
      </c>
      <c r="N33" s="994">
        <v>176753709.83799994</v>
      </c>
      <c r="O33" s="994">
        <v>4359727</v>
      </c>
      <c r="P33" s="994">
        <v>187645152.051</v>
      </c>
      <c r="Q33" s="1554" t="s">
        <v>386</v>
      </c>
      <c r="S33" s="1565" t="e">
        <f>ROUND(#REF!,0)</f>
        <v>#REF!</v>
      </c>
    </row>
    <row r="34" spans="1:19" ht="27.75" customHeight="1">
      <c r="A34" s="1556" t="s">
        <v>1305</v>
      </c>
      <c r="B34" s="1557"/>
      <c r="C34" s="1558"/>
      <c r="D34" s="1558"/>
      <c r="E34" s="1558"/>
      <c r="F34" s="1558"/>
      <c r="G34" s="1558"/>
      <c r="H34" s="1558"/>
      <c r="I34" s="1558"/>
      <c r="J34" s="1558"/>
      <c r="K34" s="1558"/>
      <c r="L34" s="1558"/>
      <c r="M34" s="1558"/>
      <c r="N34" s="1558"/>
      <c r="O34" s="1558"/>
      <c r="P34" s="1558"/>
      <c r="Q34" s="1559" t="s">
        <v>1306</v>
      </c>
    </row>
    <row r="35" spans="1:19" ht="18">
      <c r="A35" s="1556" t="s">
        <v>1307</v>
      </c>
      <c r="B35" s="1557"/>
      <c r="C35" s="1558"/>
      <c r="D35" s="1558"/>
      <c r="E35" s="1558"/>
      <c r="F35" s="1558"/>
      <c r="G35" s="1558"/>
      <c r="H35" s="1558"/>
      <c r="I35" s="1558"/>
      <c r="J35" s="1558"/>
      <c r="K35" s="1558"/>
      <c r="L35" s="1558"/>
      <c r="M35" s="1558"/>
      <c r="N35" s="1558"/>
      <c r="O35" s="1558"/>
      <c r="P35" s="1558"/>
      <c r="Q35" s="1559" t="s">
        <v>1308</v>
      </c>
    </row>
    <row r="36" spans="1:19">
      <c r="A36" s="1535"/>
      <c r="B36" s="1535"/>
      <c r="C36" s="1535"/>
      <c r="D36" s="1535"/>
      <c r="E36" s="1535"/>
      <c r="F36" s="1535"/>
      <c r="G36" s="1535"/>
      <c r="H36" s="1535"/>
      <c r="I36" s="1535"/>
      <c r="J36" s="1535"/>
      <c r="K36" s="1535"/>
      <c r="L36" s="1535"/>
      <c r="M36" s="1535"/>
      <c r="N36" s="1535"/>
      <c r="O36" s="1535"/>
      <c r="P36" s="1535"/>
    </row>
    <row r="37" spans="1:19">
      <c r="A37" s="1560" t="s">
        <v>1309</v>
      </c>
      <c r="B37" s="1560"/>
      <c r="C37" s="1560"/>
      <c r="D37" s="1560"/>
      <c r="E37" s="1560"/>
      <c r="F37" s="1560"/>
      <c r="G37" s="1560"/>
      <c r="H37" s="1560"/>
      <c r="I37" s="1560"/>
      <c r="J37" s="1560"/>
      <c r="K37" s="1560"/>
      <c r="L37" s="1560"/>
      <c r="M37" s="1560"/>
      <c r="N37" s="1560"/>
      <c r="O37" s="1560"/>
      <c r="P37" s="1560"/>
      <c r="Q37" s="1560"/>
    </row>
    <row r="38" spans="1:19">
      <c r="E38" s="1562"/>
      <c r="F38" s="1562"/>
      <c r="G38" s="1562"/>
      <c r="H38" s="1562"/>
      <c r="I38" s="1562"/>
      <c r="J38" s="1562"/>
      <c r="K38" s="1562"/>
      <c r="L38" s="1562"/>
      <c r="M38" s="1562"/>
      <c r="N38" s="1562"/>
      <c r="O38" s="1562"/>
      <c r="P38" s="1562"/>
    </row>
    <row r="39" spans="1:19">
      <c r="C39" s="1563"/>
      <c r="D39" s="1563"/>
      <c r="E39" s="1563"/>
      <c r="F39" s="1563"/>
      <c r="G39" s="1563"/>
      <c r="H39" s="1563"/>
      <c r="I39" s="1563"/>
      <c r="J39" s="1563"/>
      <c r="K39" s="1563"/>
      <c r="L39" s="1563"/>
      <c r="M39" s="1563"/>
      <c r="N39" s="1563"/>
      <c r="O39" s="1563"/>
      <c r="P39" s="1563"/>
    </row>
    <row r="41" spans="1:19">
      <c r="C41" s="1564"/>
      <c r="D41" s="1564"/>
      <c r="E41" s="1564"/>
      <c r="F41" s="1564"/>
      <c r="G41" s="1564"/>
      <c r="H41" s="1564"/>
      <c r="I41" s="1564"/>
      <c r="J41" s="1564"/>
      <c r="K41" s="1564"/>
      <c r="L41" s="1564"/>
      <c r="M41" s="1564"/>
      <c r="N41" s="1564"/>
      <c r="O41" s="1564"/>
      <c r="P41" s="1564"/>
      <c r="Q41" s="1564"/>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Q41"/>
  <sheetViews>
    <sheetView topLeftCell="E26" zoomScale="70" zoomScaleNormal="70" workbookViewId="0">
      <selection activeCell="A11" sqref="B12"/>
    </sheetView>
  </sheetViews>
  <sheetFormatPr defaultColWidth="18.28515625" defaultRowHeight="15"/>
  <cols>
    <col min="1" max="1" width="6.140625" style="1561" customWidth="1"/>
    <col min="2" max="2" width="45.85546875" style="1537" customWidth="1"/>
    <col min="3" max="3" width="15" style="1537" bestFit="1" customWidth="1"/>
    <col min="4" max="4" width="14.28515625" style="1537" bestFit="1" customWidth="1"/>
    <col min="5" max="5" width="15" style="1537" bestFit="1" customWidth="1"/>
    <col min="6" max="6" width="14.28515625" style="1537" bestFit="1" customWidth="1"/>
    <col min="7" max="7" width="15" style="1537" bestFit="1" customWidth="1"/>
    <col min="8" max="8" width="14.28515625" style="1537" bestFit="1" customWidth="1"/>
    <col min="9" max="9" width="15" style="1537" bestFit="1" customWidth="1"/>
    <col min="10" max="10" width="14.28515625" style="1537" bestFit="1" customWidth="1"/>
    <col min="11" max="11" width="15" style="1537" bestFit="1" customWidth="1"/>
    <col min="12" max="12" width="14.28515625" style="1537" bestFit="1" customWidth="1"/>
    <col min="13" max="13" width="15" style="1537" bestFit="1" customWidth="1"/>
    <col min="14" max="14" width="14.28515625" style="1537" bestFit="1" customWidth="1"/>
    <col min="15" max="15" width="15" style="1537" bestFit="1" customWidth="1"/>
    <col min="16" max="16" width="14.28515625" style="1537" bestFit="1" customWidth="1"/>
    <col min="17" max="17" width="46.7109375" style="1537" customWidth="1"/>
    <col min="18" max="16384" width="18.28515625" style="1537"/>
  </cols>
  <sheetData>
    <row r="1" spans="1:17" ht="18" customHeight="1">
      <c r="A1" s="977" t="s">
        <v>1750</v>
      </c>
      <c r="B1" s="976"/>
      <c r="C1" s="976"/>
      <c r="D1" s="976"/>
      <c r="E1" s="976"/>
      <c r="F1" s="976"/>
      <c r="G1" s="976"/>
      <c r="H1" s="976"/>
      <c r="I1" s="976"/>
      <c r="J1" s="976"/>
      <c r="K1" s="976"/>
      <c r="L1" s="976"/>
      <c r="M1" s="976"/>
      <c r="N1" s="976"/>
      <c r="O1" s="976"/>
      <c r="P1" s="976"/>
      <c r="Q1" s="976"/>
    </row>
    <row r="2" spans="1:17" ht="18" customHeight="1">
      <c r="A2" s="977" t="s">
        <v>1310</v>
      </c>
      <c r="B2" s="1538"/>
      <c r="C2" s="1538"/>
      <c r="D2" s="1538"/>
      <c r="E2" s="1538"/>
      <c r="F2" s="1538"/>
      <c r="G2" s="1538"/>
      <c r="H2" s="1538"/>
      <c r="I2" s="1538"/>
      <c r="J2" s="1538"/>
      <c r="K2" s="1538"/>
      <c r="L2" s="1538"/>
      <c r="M2" s="1538"/>
      <c r="N2" s="1538"/>
      <c r="O2" s="1538"/>
      <c r="P2" s="1538"/>
      <c r="Q2" s="1538"/>
    </row>
    <row r="3" spans="1:17" ht="18">
      <c r="A3" s="977" t="s">
        <v>1311</v>
      </c>
      <c r="B3" s="976"/>
      <c r="C3" s="976"/>
      <c r="D3" s="976"/>
      <c r="E3" s="976"/>
      <c r="F3" s="976"/>
      <c r="G3" s="976"/>
      <c r="H3" s="976"/>
      <c r="I3" s="976"/>
      <c r="J3" s="976"/>
      <c r="K3" s="976"/>
      <c r="L3" s="976"/>
      <c r="M3" s="976"/>
      <c r="N3" s="976"/>
      <c r="O3" s="976"/>
      <c r="P3" s="976"/>
      <c r="Q3" s="976"/>
    </row>
    <row r="4" spans="1:17" ht="4.5" customHeight="1">
      <c r="A4" s="976"/>
      <c r="B4" s="976"/>
      <c r="C4" s="1539"/>
      <c r="D4" s="1539"/>
      <c r="E4" s="1539"/>
      <c r="F4" s="1539"/>
      <c r="G4" s="1539"/>
      <c r="H4" s="1539"/>
      <c r="I4" s="1539"/>
      <c r="J4" s="1539"/>
      <c r="K4" s="1539"/>
      <c r="L4" s="1539"/>
      <c r="M4" s="1539"/>
      <c r="N4" s="1539"/>
      <c r="O4" s="1539"/>
      <c r="P4" s="1539"/>
      <c r="Q4" s="976"/>
    </row>
    <row r="5" spans="1:17" ht="15.75" hidden="1" customHeight="1">
      <c r="A5" s="976"/>
      <c r="B5" s="976"/>
      <c r="C5" s="1539"/>
      <c r="D5" s="1539"/>
      <c r="E5" s="1539"/>
      <c r="F5" s="1539"/>
      <c r="G5" s="1539"/>
      <c r="H5" s="1539"/>
      <c r="I5" s="1539"/>
      <c r="J5" s="1539"/>
      <c r="K5" s="1539"/>
      <c r="L5" s="1539"/>
      <c r="M5" s="1539"/>
      <c r="N5" s="1539"/>
      <c r="O5" s="1539"/>
      <c r="P5" s="1539"/>
      <c r="Q5" s="976"/>
    </row>
    <row r="6" spans="1:17" ht="15.75" hidden="1" customHeight="1">
      <c r="A6" s="976"/>
      <c r="B6" s="976"/>
      <c r="C6" s="1539"/>
      <c r="D6" s="1539"/>
      <c r="E6" s="1539"/>
      <c r="F6" s="1539"/>
      <c r="G6" s="1539"/>
      <c r="H6" s="1539"/>
      <c r="I6" s="1539"/>
      <c r="J6" s="1539"/>
      <c r="K6" s="1539"/>
      <c r="L6" s="1539"/>
      <c r="M6" s="1539"/>
      <c r="N6" s="1539"/>
      <c r="O6" s="1539"/>
      <c r="P6" s="1539"/>
      <c r="Q6" s="976"/>
    </row>
    <row r="7" spans="1:17" ht="15.75" hidden="1" customHeight="1">
      <c r="A7" s="976"/>
      <c r="B7" s="976"/>
      <c r="C7" s="1539"/>
      <c r="D7" s="1539"/>
      <c r="E7" s="1539"/>
      <c r="F7" s="1539"/>
      <c r="G7" s="1539"/>
      <c r="H7" s="1539"/>
      <c r="I7" s="1539"/>
      <c r="J7" s="1539"/>
      <c r="K7" s="1539"/>
      <c r="L7" s="1539"/>
      <c r="M7" s="1539"/>
      <c r="N7" s="1539"/>
      <c r="O7" s="1539"/>
      <c r="P7" s="1539"/>
      <c r="Q7" s="976"/>
    </row>
    <row r="8" spans="1:17">
      <c r="A8" s="853" t="s">
        <v>1264</v>
      </c>
      <c r="D8" s="853"/>
      <c r="F8" s="853"/>
      <c r="H8" s="853"/>
      <c r="J8" s="853"/>
      <c r="L8" s="853"/>
      <c r="N8" s="853"/>
      <c r="P8" s="853"/>
      <c r="Q8" s="853" t="s">
        <v>1265</v>
      </c>
    </row>
    <row r="9" spans="1:17" s="1542" customFormat="1" ht="20.25" customHeight="1">
      <c r="A9" s="1540"/>
      <c r="B9" s="1540" t="s">
        <v>860</v>
      </c>
      <c r="C9" s="1541">
        <v>2024</v>
      </c>
      <c r="D9" s="1541"/>
      <c r="E9" s="1541"/>
      <c r="F9" s="1541"/>
      <c r="G9" s="1541"/>
      <c r="H9" s="1541"/>
      <c r="I9" s="1541"/>
      <c r="J9" s="1541"/>
      <c r="K9" s="1541"/>
      <c r="L9" s="1541"/>
      <c r="M9" s="1541"/>
      <c r="N9" s="1541"/>
      <c r="O9" s="1541"/>
      <c r="P9" s="1541"/>
      <c r="Q9" s="1540" t="s">
        <v>861</v>
      </c>
    </row>
    <row r="10" spans="1:17" s="1542" customFormat="1" ht="20.25" customHeight="1">
      <c r="A10" s="1543"/>
      <c r="B10" s="1543"/>
      <c r="C10" s="1544" t="s">
        <v>1680</v>
      </c>
      <c r="D10" s="1545"/>
      <c r="E10" s="1544" t="s">
        <v>1686</v>
      </c>
      <c r="F10" s="1545"/>
      <c r="G10" s="1544" t="s">
        <v>1694</v>
      </c>
      <c r="H10" s="1545"/>
      <c r="I10" s="1544" t="s">
        <v>1700</v>
      </c>
      <c r="J10" s="1545"/>
      <c r="K10" s="1544" t="s">
        <v>1706</v>
      </c>
      <c r="L10" s="1545"/>
      <c r="M10" s="1544" t="s">
        <v>1713</v>
      </c>
      <c r="N10" s="1545"/>
      <c r="O10" s="1544" t="s">
        <v>1721</v>
      </c>
      <c r="P10" s="1545"/>
      <c r="Q10" s="1543"/>
    </row>
    <row r="11" spans="1:17" s="1542" customFormat="1" ht="15.75">
      <c r="A11" s="1543"/>
      <c r="B11" s="1543"/>
      <c r="C11" s="944" t="s">
        <v>1248</v>
      </c>
      <c r="D11" s="944" t="s">
        <v>1217</v>
      </c>
      <c r="E11" s="944" t="s">
        <v>1248</v>
      </c>
      <c r="F11" s="944" t="s">
        <v>1217</v>
      </c>
      <c r="G11" s="944" t="s">
        <v>1248</v>
      </c>
      <c r="H11" s="944" t="s">
        <v>1217</v>
      </c>
      <c r="I11" s="944" t="s">
        <v>1248</v>
      </c>
      <c r="J11" s="944" t="s">
        <v>1217</v>
      </c>
      <c r="K11" s="944" t="s">
        <v>1248</v>
      </c>
      <c r="L11" s="944" t="s">
        <v>1217</v>
      </c>
      <c r="M11" s="944" t="s">
        <v>1248</v>
      </c>
      <c r="N11" s="944" t="s">
        <v>1217</v>
      </c>
      <c r="O11" s="944" t="s">
        <v>1248</v>
      </c>
      <c r="P11" s="944" t="s">
        <v>1217</v>
      </c>
      <c r="Q11" s="1543"/>
    </row>
    <row r="12" spans="1:17" s="1547" customFormat="1" ht="15.75">
      <c r="A12" s="1546"/>
      <c r="B12" s="1546"/>
      <c r="C12" s="974" t="s">
        <v>1266</v>
      </c>
      <c r="D12" s="974" t="s">
        <v>1219</v>
      </c>
      <c r="E12" s="974" t="s">
        <v>1266</v>
      </c>
      <c r="F12" s="974" t="s">
        <v>1219</v>
      </c>
      <c r="G12" s="974" t="s">
        <v>1266</v>
      </c>
      <c r="H12" s="974" t="s">
        <v>1219</v>
      </c>
      <c r="I12" s="974" t="s">
        <v>1266</v>
      </c>
      <c r="J12" s="974" t="s">
        <v>1219</v>
      </c>
      <c r="K12" s="974" t="s">
        <v>1266</v>
      </c>
      <c r="L12" s="974" t="s">
        <v>1219</v>
      </c>
      <c r="M12" s="974" t="s">
        <v>1266</v>
      </c>
      <c r="N12" s="974" t="s">
        <v>1219</v>
      </c>
      <c r="O12" s="974" t="s">
        <v>1266</v>
      </c>
      <c r="P12" s="974" t="s">
        <v>1219</v>
      </c>
      <c r="Q12" s="1546"/>
    </row>
    <row r="13" spans="1:17" ht="31.5" customHeight="1">
      <c r="A13" s="951">
        <v>1</v>
      </c>
      <c r="B13" s="1548" t="s">
        <v>895</v>
      </c>
      <c r="C13" s="1121">
        <v>1419</v>
      </c>
      <c r="D13" s="1121">
        <v>445769.288</v>
      </c>
      <c r="E13" s="1121">
        <v>1589</v>
      </c>
      <c r="F13" s="1121">
        <v>409053.99900000001</v>
      </c>
      <c r="G13" s="1121">
        <v>1834</v>
      </c>
      <c r="H13" s="1121">
        <v>735594.03800000006</v>
      </c>
      <c r="I13" s="1121">
        <v>2390</v>
      </c>
      <c r="J13" s="1121">
        <v>748307.723</v>
      </c>
      <c r="K13" s="1121">
        <v>2198</v>
      </c>
      <c r="L13" s="1121">
        <v>664865.74399999995</v>
      </c>
      <c r="M13" s="1121">
        <v>2255</v>
      </c>
      <c r="N13" s="1121">
        <v>621603.57499999995</v>
      </c>
      <c r="O13" s="1121">
        <v>18982</v>
      </c>
      <c r="P13" s="1121">
        <v>859140.04899999988</v>
      </c>
      <c r="Q13" s="1549" t="s">
        <v>896</v>
      </c>
    </row>
    <row r="14" spans="1:17" ht="43.5" customHeight="1">
      <c r="A14" s="951">
        <v>2</v>
      </c>
      <c r="B14" s="1550" t="s">
        <v>1267</v>
      </c>
      <c r="C14" s="1121">
        <v>97620</v>
      </c>
      <c r="D14" s="1121">
        <v>10693383.064999999</v>
      </c>
      <c r="E14" s="1121">
        <v>88124</v>
      </c>
      <c r="F14" s="1121">
        <v>8758376.2800000012</v>
      </c>
      <c r="G14" s="1121">
        <v>80728</v>
      </c>
      <c r="H14" s="1121">
        <v>8570799.4810000006</v>
      </c>
      <c r="I14" s="1121">
        <v>79252</v>
      </c>
      <c r="J14" s="1121">
        <v>8550165.3070000019</v>
      </c>
      <c r="K14" s="1121">
        <v>72720</v>
      </c>
      <c r="L14" s="1121">
        <v>7779513.0370000023</v>
      </c>
      <c r="M14" s="1121">
        <v>83991</v>
      </c>
      <c r="N14" s="1121">
        <v>9723636.8059999999</v>
      </c>
      <c r="O14" s="1121">
        <v>72852</v>
      </c>
      <c r="P14" s="1121">
        <v>8223063.2070000013</v>
      </c>
      <c r="Q14" s="1551" t="s">
        <v>1268</v>
      </c>
    </row>
    <row r="15" spans="1:17" ht="31.5" customHeight="1">
      <c r="A15" s="951">
        <v>3</v>
      </c>
      <c r="B15" s="1550" t="s">
        <v>1269</v>
      </c>
      <c r="C15" s="1121">
        <v>433436</v>
      </c>
      <c r="D15" s="1121">
        <v>6932803.051</v>
      </c>
      <c r="E15" s="1121">
        <v>384902</v>
      </c>
      <c r="F15" s="1121">
        <v>5860317.4190000007</v>
      </c>
      <c r="G15" s="1121">
        <v>380282</v>
      </c>
      <c r="H15" s="1121">
        <v>5855391.8689999999</v>
      </c>
      <c r="I15" s="1121">
        <v>377468</v>
      </c>
      <c r="J15" s="1121">
        <v>5962752.3959999988</v>
      </c>
      <c r="K15" s="1121">
        <v>357482</v>
      </c>
      <c r="L15" s="1121">
        <v>5341509.8499999987</v>
      </c>
      <c r="M15" s="1121">
        <v>415495</v>
      </c>
      <c r="N15" s="1121">
        <v>6104270.4059999995</v>
      </c>
      <c r="O15" s="1121">
        <v>406765</v>
      </c>
      <c r="P15" s="1121">
        <v>5872479.7209999999</v>
      </c>
      <c r="Q15" s="1551" t="s">
        <v>1270</v>
      </c>
    </row>
    <row r="16" spans="1:17" ht="31.5" customHeight="1">
      <c r="A16" s="951">
        <v>4</v>
      </c>
      <c r="B16" s="1550" t="s">
        <v>1271</v>
      </c>
      <c r="C16" s="1121">
        <v>22076</v>
      </c>
      <c r="D16" s="1121">
        <v>672954.87199999997</v>
      </c>
      <c r="E16" s="1121">
        <v>19234</v>
      </c>
      <c r="F16" s="1121">
        <v>629369.30000000005</v>
      </c>
      <c r="G16" s="1121">
        <v>20422</v>
      </c>
      <c r="H16" s="1121">
        <v>634777.26500000013</v>
      </c>
      <c r="I16" s="1121">
        <v>21692</v>
      </c>
      <c r="J16" s="1121">
        <v>683240.09699999995</v>
      </c>
      <c r="K16" s="1121">
        <v>20872</v>
      </c>
      <c r="L16" s="1121">
        <v>742366.96199999994</v>
      </c>
      <c r="M16" s="1121">
        <v>23093</v>
      </c>
      <c r="N16" s="1121">
        <v>738212.09900000005</v>
      </c>
      <c r="O16" s="1121">
        <v>23622</v>
      </c>
      <c r="P16" s="1121">
        <v>733461.2969999999</v>
      </c>
      <c r="Q16" s="1551" t="s">
        <v>1272</v>
      </c>
    </row>
    <row r="17" spans="1:17" ht="31.5" customHeight="1">
      <c r="A17" s="951">
        <v>5</v>
      </c>
      <c r="B17" s="1550" t="s">
        <v>1273</v>
      </c>
      <c r="C17" s="1121">
        <v>26186</v>
      </c>
      <c r="D17" s="1121">
        <v>1087539.7620000001</v>
      </c>
      <c r="E17" s="1121">
        <v>25944</v>
      </c>
      <c r="F17" s="1121">
        <v>1383174.4039999996</v>
      </c>
      <c r="G17" s="1121">
        <v>28645</v>
      </c>
      <c r="H17" s="1121">
        <v>1215769.618</v>
      </c>
      <c r="I17" s="1121">
        <v>32457</v>
      </c>
      <c r="J17" s="1121">
        <v>1487629.1609999998</v>
      </c>
      <c r="K17" s="1121">
        <v>39004</v>
      </c>
      <c r="L17" s="1121">
        <v>1632784.7709999999</v>
      </c>
      <c r="M17" s="1121">
        <v>41955</v>
      </c>
      <c r="N17" s="1121">
        <v>1352891.1130000001</v>
      </c>
      <c r="O17" s="1121">
        <v>29206</v>
      </c>
      <c r="P17" s="1121">
        <v>1120462.6880000001</v>
      </c>
      <c r="Q17" s="1551" t="s">
        <v>1274</v>
      </c>
    </row>
    <row r="18" spans="1:17" ht="47.25">
      <c r="A18" s="951">
        <v>6</v>
      </c>
      <c r="B18" s="1550" t="s">
        <v>1275</v>
      </c>
      <c r="C18" s="1121">
        <v>11020</v>
      </c>
      <c r="D18" s="1121">
        <v>471938.554</v>
      </c>
      <c r="E18" s="1121">
        <v>10566</v>
      </c>
      <c r="F18" s="1121">
        <v>363990.75599999999</v>
      </c>
      <c r="G18" s="1121">
        <v>11186</v>
      </c>
      <c r="H18" s="1121">
        <v>453368.75499999995</v>
      </c>
      <c r="I18" s="1121">
        <v>10255</v>
      </c>
      <c r="J18" s="1121">
        <v>372462.89799999999</v>
      </c>
      <c r="K18" s="1121">
        <v>10209</v>
      </c>
      <c r="L18" s="1121">
        <v>344430.4</v>
      </c>
      <c r="M18" s="1121">
        <v>13447</v>
      </c>
      <c r="N18" s="1121">
        <v>367577.40899999999</v>
      </c>
      <c r="O18" s="1121">
        <v>12928</v>
      </c>
      <c r="P18" s="1121">
        <v>353100.35099999997</v>
      </c>
      <c r="Q18" s="1552" t="s">
        <v>1276</v>
      </c>
    </row>
    <row r="19" spans="1:17" ht="31.5" customHeight="1">
      <c r="A19" s="951">
        <v>7</v>
      </c>
      <c r="B19" s="1550" t="s">
        <v>1277</v>
      </c>
      <c r="C19" s="1121">
        <v>96259</v>
      </c>
      <c r="D19" s="1121">
        <v>1156264.1720000003</v>
      </c>
      <c r="E19" s="1121">
        <v>88714</v>
      </c>
      <c r="F19" s="1121">
        <v>1058437.7770000002</v>
      </c>
      <c r="G19" s="1121">
        <v>94489</v>
      </c>
      <c r="H19" s="1121">
        <v>1208060.5869999998</v>
      </c>
      <c r="I19" s="1121">
        <v>104933</v>
      </c>
      <c r="J19" s="1121">
        <v>1450357.804</v>
      </c>
      <c r="K19" s="1121">
        <v>110073</v>
      </c>
      <c r="L19" s="1121">
        <v>1470554.2339999997</v>
      </c>
      <c r="M19" s="1121">
        <v>124062</v>
      </c>
      <c r="N19" s="1121">
        <v>1620031.0460000001</v>
      </c>
      <c r="O19" s="1121">
        <v>110539</v>
      </c>
      <c r="P19" s="1121">
        <v>1396493.3939999999</v>
      </c>
      <c r="Q19" s="1551" t="s">
        <v>1278</v>
      </c>
    </row>
    <row r="20" spans="1:17" ht="31.5" customHeight="1">
      <c r="A20" s="951">
        <v>8</v>
      </c>
      <c r="B20" s="1550" t="s">
        <v>1279</v>
      </c>
      <c r="C20" s="1121">
        <v>5139</v>
      </c>
      <c r="D20" s="1121">
        <v>3081004.6140000001</v>
      </c>
      <c r="E20" s="1121">
        <v>4292</v>
      </c>
      <c r="F20" s="1121">
        <v>2546475.5389999999</v>
      </c>
      <c r="G20" s="1121">
        <v>4342</v>
      </c>
      <c r="H20" s="1121">
        <v>2976556.2630000003</v>
      </c>
      <c r="I20" s="1121">
        <v>4551</v>
      </c>
      <c r="J20" s="1121">
        <v>3527904.8190000001</v>
      </c>
      <c r="K20" s="1121">
        <v>4482</v>
      </c>
      <c r="L20" s="1121">
        <v>3140716.6239999994</v>
      </c>
      <c r="M20" s="1121">
        <v>8925</v>
      </c>
      <c r="N20" s="1121">
        <v>11746105.74</v>
      </c>
      <c r="O20" s="1121">
        <v>8960</v>
      </c>
      <c r="P20" s="1121">
        <v>9059959.7330000009</v>
      </c>
      <c r="Q20" s="1551" t="s">
        <v>1280</v>
      </c>
    </row>
    <row r="21" spans="1:17" ht="31.5" customHeight="1">
      <c r="A21" s="951">
        <v>9</v>
      </c>
      <c r="B21" s="1550" t="s">
        <v>1281</v>
      </c>
      <c r="C21" s="1121">
        <v>68472</v>
      </c>
      <c r="D21" s="1121">
        <v>2180354.1490000002</v>
      </c>
      <c r="E21" s="1121">
        <v>60688</v>
      </c>
      <c r="F21" s="1121">
        <v>1894280.318</v>
      </c>
      <c r="G21" s="1121">
        <v>65806</v>
      </c>
      <c r="H21" s="1121">
        <v>1927861.1140000003</v>
      </c>
      <c r="I21" s="1121">
        <v>78867</v>
      </c>
      <c r="J21" s="1121">
        <v>1843787.578</v>
      </c>
      <c r="K21" s="1121">
        <v>60848</v>
      </c>
      <c r="L21" s="1121">
        <v>1895143.6529999999</v>
      </c>
      <c r="M21" s="1121">
        <v>75131</v>
      </c>
      <c r="N21" s="1121">
        <v>2238123.7680000002</v>
      </c>
      <c r="O21" s="1121">
        <v>81079</v>
      </c>
      <c r="P21" s="1121">
        <v>2376910.801</v>
      </c>
      <c r="Q21" s="1551" t="s">
        <v>1282</v>
      </c>
    </row>
    <row r="22" spans="1:17" ht="31.5" customHeight="1">
      <c r="A22" s="951">
        <v>10</v>
      </c>
      <c r="B22" s="1550" t="s">
        <v>1283</v>
      </c>
      <c r="C22" s="1121">
        <v>71186</v>
      </c>
      <c r="D22" s="1121">
        <v>3758314.1540000001</v>
      </c>
      <c r="E22" s="1320">
        <v>57979</v>
      </c>
      <c r="F22" s="1121">
        <v>2877947.1539999996</v>
      </c>
      <c r="G22" s="1121">
        <v>59986</v>
      </c>
      <c r="H22" s="1121">
        <v>2856930.4189999998</v>
      </c>
      <c r="I22" s="1121">
        <v>49457</v>
      </c>
      <c r="J22" s="1121">
        <v>2725543.6279999996</v>
      </c>
      <c r="K22" s="1121">
        <v>46663</v>
      </c>
      <c r="L22" s="1121">
        <v>2748524.79</v>
      </c>
      <c r="M22" s="1121">
        <v>61988</v>
      </c>
      <c r="N22" s="1121">
        <v>3610397.574</v>
      </c>
      <c r="O22" s="1121">
        <v>73555</v>
      </c>
      <c r="P22" s="1121">
        <v>4184169.8790000007</v>
      </c>
      <c r="Q22" s="1551" t="s">
        <v>1284</v>
      </c>
    </row>
    <row r="23" spans="1:17" ht="31.5" customHeight="1">
      <c r="A23" s="951">
        <v>11</v>
      </c>
      <c r="B23" s="1550" t="s">
        <v>1285</v>
      </c>
      <c r="C23" s="1121">
        <v>7243</v>
      </c>
      <c r="D23" s="1121">
        <v>327404.82799999998</v>
      </c>
      <c r="E23" s="1121">
        <v>6539</v>
      </c>
      <c r="F23" s="1121">
        <v>260774.99200000003</v>
      </c>
      <c r="G23" s="1121">
        <v>7644</v>
      </c>
      <c r="H23" s="1121">
        <v>357907.478</v>
      </c>
      <c r="I23" s="1121">
        <v>7225</v>
      </c>
      <c r="J23" s="1121">
        <v>394738.47900000005</v>
      </c>
      <c r="K23" s="1121">
        <v>6996</v>
      </c>
      <c r="L23" s="1121">
        <v>354090.49</v>
      </c>
      <c r="M23" s="1121">
        <v>8021</v>
      </c>
      <c r="N23" s="1121">
        <v>383284.03400000004</v>
      </c>
      <c r="O23" s="1121">
        <v>10986</v>
      </c>
      <c r="P23" s="1121">
        <v>461588.42600000009</v>
      </c>
      <c r="Q23" s="1551" t="s">
        <v>1286</v>
      </c>
    </row>
    <row r="24" spans="1:17" ht="30" customHeight="1">
      <c r="A24" s="951">
        <v>12</v>
      </c>
      <c r="B24" s="1550" t="s">
        <v>1287</v>
      </c>
      <c r="C24" s="1121">
        <v>75119</v>
      </c>
      <c r="D24" s="1121">
        <v>254293.492</v>
      </c>
      <c r="E24" s="1121">
        <v>95415</v>
      </c>
      <c r="F24" s="1121">
        <v>289228.80800000002</v>
      </c>
      <c r="G24" s="1121">
        <v>100339</v>
      </c>
      <c r="H24" s="1121">
        <v>292071.55900000001</v>
      </c>
      <c r="I24" s="1121">
        <v>90902</v>
      </c>
      <c r="J24" s="1121">
        <v>317108.58799999999</v>
      </c>
      <c r="K24" s="1121">
        <v>96181</v>
      </c>
      <c r="L24" s="1121">
        <v>322614.40299999999</v>
      </c>
      <c r="M24" s="1121">
        <v>114521</v>
      </c>
      <c r="N24" s="1121">
        <v>324794.66200000001</v>
      </c>
      <c r="O24" s="1121">
        <v>111842</v>
      </c>
      <c r="P24" s="1121">
        <v>389845.96899999998</v>
      </c>
      <c r="Q24" s="1551" t="s">
        <v>1288</v>
      </c>
    </row>
    <row r="25" spans="1:17" ht="31.5" customHeight="1">
      <c r="A25" s="951">
        <v>13</v>
      </c>
      <c r="B25" s="1550" t="s">
        <v>1289</v>
      </c>
      <c r="C25" s="1121">
        <v>27694</v>
      </c>
      <c r="D25" s="1121">
        <v>358868.18199999997</v>
      </c>
      <c r="E25" s="1121">
        <v>27373</v>
      </c>
      <c r="F25" s="1121">
        <v>398354.54399999988</v>
      </c>
      <c r="G25" s="1121">
        <v>29109</v>
      </c>
      <c r="H25" s="1121">
        <v>376770.46899999981</v>
      </c>
      <c r="I25" s="1121">
        <v>26314</v>
      </c>
      <c r="J25" s="1121">
        <v>353503.641</v>
      </c>
      <c r="K25" s="1121">
        <v>26437</v>
      </c>
      <c r="L25" s="1121">
        <v>377982.87099999998</v>
      </c>
      <c r="M25" s="1121">
        <v>28619</v>
      </c>
      <c r="N25" s="1121">
        <v>382809.701</v>
      </c>
      <c r="O25" s="1121">
        <v>26494</v>
      </c>
      <c r="P25" s="1121">
        <v>356856.538</v>
      </c>
      <c r="Q25" s="1551" t="s">
        <v>1290</v>
      </c>
    </row>
    <row r="26" spans="1:17" ht="31.5" customHeight="1">
      <c r="A26" s="951">
        <v>14</v>
      </c>
      <c r="B26" s="1550" t="s">
        <v>1291</v>
      </c>
      <c r="C26" s="1121">
        <v>5436</v>
      </c>
      <c r="D26" s="1121">
        <v>84249.959000000003</v>
      </c>
      <c r="E26" s="1121">
        <v>4412</v>
      </c>
      <c r="F26" s="1121">
        <v>97828.771000000008</v>
      </c>
      <c r="G26" s="1121">
        <v>4285</v>
      </c>
      <c r="H26" s="1121">
        <v>77820.409</v>
      </c>
      <c r="I26" s="1121">
        <v>5388</v>
      </c>
      <c r="J26" s="1121">
        <v>99262.032999999996</v>
      </c>
      <c r="K26" s="1121">
        <v>6943</v>
      </c>
      <c r="L26" s="1121">
        <v>152006.204</v>
      </c>
      <c r="M26" s="1121">
        <v>8992</v>
      </c>
      <c r="N26" s="1121">
        <v>158003.43400000001</v>
      </c>
      <c r="O26" s="1121">
        <v>10339</v>
      </c>
      <c r="P26" s="1121">
        <v>205161.02899999998</v>
      </c>
      <c r="Q26" s="1551" t="s">
        <v>1292</v>
      </c>
    </row>
    <row r="27" spans="1:17" ht="31.5">
      <c r="A27" s="951">
        <v>15</v>
      </c>
      <c r="B27" s="1550" t="s">
        <v>1293</v>
      </c>
      <c r="C27" s="1121">
        <v>54295</v>
      </c>
      <c r="D27" s="1121">
        <v>1510348.051</v>
      </c>
      <c r="E27" s="1121">
        <v>52937</v>
      </c>
      <c r="F27" s="1121">
        <v>1420984.1690000002</v>
      </c>
      <c r="G27" s="1121">
        <v>53114</v>
      </c>
      <c r="H27" s="1121">
        <v>1334128.5009999999</v>
      </c>
      <c r="I27" s="1121">
        <v>53220</v>
      </c>
      <c r="J27" s="1121">
        <v>1636554.4530000002</v>
      </c>
      <c r="K27" s="1121">
        <v>54190</v>
      </c>
      <c r="L27" s="1121">
        <v>1397639.77</v>
      </c>
      <c r="M27" s="1121">
        <v>66420</v>
      </c>
      <c r="N27" s="1121">
        <v>1664184.4160000002</v>
      </c>
      <c r="O27" s="1121">
        <v>59875</v>
      </c>
      <c r="P27" s="1121">
        <v>1829315.36</v>
      </c>
      <c r="Q27" s="1551" t="s">
        <v>1294</v>
      </c>
    </row>
    <row r="28" spans="1:17" ht="31.5" customHeight="1">
      <c r="A28" s="951">
        <v>16</v>
      </c>
      <c r="B28" s="1550" t="s">
        <v>1295</v>
      </c>
      <c r="C28" s="1121">
        <v>2343</v>
      </c>
      <c r="D28" s="1121">
        <v>504324.75999999995</v>
      </c>
      <c r="E28" s="1121">
        <v>1838</v>
      </c>
      <c r="F28" s="1121">
        <v>422678.97499999998</v>
      </c>
      <c r="G28" s="1121">
        <v>1812</v>
      </c>
      <c r="H28" s="1121">
        <v>316574.12799999997</v>
      </c>
      <c r="I28" s="1121">
        <v>2218</v>
      </c>
      <c r="J28" s="1121">
        <v>318114.78800000006</v>
      </c>
      <c r="K28" s="1121">
        <v>2145</v>
      </c>
      <c r="L28" s="1121">
        <v>416217.83100000012</v>
      </c>
      <c r="M28" s="1121">
        <v>2190</v>
      </c>
      <c r="N28" s="1121">
        <v>420866.61900000006</v>
      </c>
      <c r="O28" s="1121">
        <v>8335</v>
      </c>
      <c r="P28" s="1121">
        <v>859852.96200000006</v>
      </c>
      <c r="Q28" s="1552" t="s">
        <v>1296</v>
      </c>
    </row>
    <row r="29" spans="1:17" ht="31.5" customHeight="1">
      <c r="A29" s="951">
        <v>17</v>
      </c>
      <c r="B29" s="1550" t="s">
        <v>1297</v>
      </c>
      <c r="C29" s="1121">
        <v>38140</v>
      </c>
      <c r="D29" s="1121">
        <v>754642.27899999998</v>
      </c>
      <c r="E29" s="1121">
        <v>31549</v>
      </c>
      <c r="F29" s="1121">
        <v>633907.59900000005</v>
      </c>
      <c r="G29" s="1121">
        <v>29512</v>
      </c>
      <c r="H29" s="1121">
        <v>579524.04299999995</v>
      </c>
      <c r="I29" s="1121">
        <v>23328</v>
      </c>
      <c r="J29" s="1121">
        <v>511553.39199999999</v>
      </c>
      <c r="K29" s="1121">
        <v>22893</v>
      </c>
      <c r="L29" s="1121">
        <v>559011.17800000007</v>
      </c>
      <c r="M29" s="1121">
        <v>32050</v>
      </c>
      <c r="N29" s="1121">
        <v>709250.272</v>
      </c>
      <c r="O29" s="1121">
        <v>48722</v>
      </c>
      <c r="P29" s="1121">
        <v>958185.51099999994</v>
      </c>
      <c r="Q29" s="1551" t="s">
        <v>1298</v>
      </c>
    </row>
    <row r="30" spans="1:17" ht="46.5" customHeight="1">
      <c r="A30" s="951">
        <v>18</v>
      </c>
      <c r="B30" s="1550" t="s">
        <v>1299</v>
      </c>
      <c r="C30" s="1121">
        <v>6038</v>
      </c>
      <c r="D30" s="1121">
        <v>398860.93</v>
      </c>
      <c r="E30" s="1121">
        <v>5733</v>
      </c>
      <c r="F30" s="1121">
        <v>360142.451</v>
      </c>
      <c r="G30" s="1121">
        <v>6573</v>
      </c>
      <c r="H30" s="1121">
        <v>463067.08600000001</v>
      </c>
      <c r="I30" s="1121">
        <v>6456</v>
      </c>
      <c r="J30" s="1121">
        <v>458191.18700000003</v>
      </c>
      <c r="K30" s="1121">
        <v>6078</v>
      </c>
      <c r="L30" s="1121">
        <v>404628.11699999997</v>
      </c>
      <c r="M30" s="1121">
        <v>7238</v>
      </c>
      <c r="N30" s="1121">
        <v>443591.80300000001</v>
      </c>
      <c r="O30" s="1121">
        <v>8671</v>
      </c>
      <c r="P30" s="1121">
        <v>517122.01599999995</v>
      </c>
      <c r="Q30" s="1551" t="s">
        <v>1300</v>
      </c>
    </row>
    <row r="31" spans="1:17" ht="31.5" customHeight="1">
      <c r="A31" s="951">
        <v>19</v>
      </c>
      <c r="B31" s="1550" t="s">
        <v>1301</v>
      </c>
      <c r="C31" s="1121">
        <v>2229</v>
      </c>
      <c r="D31" s="1121">
        <v>65049.067000000003</v>
      </c>
      <c r="E31" s="1121">
        <v>2036</v>
      </c>
      <c r="F31" s="1121">
        <v>58526.728999999999</v>
      </c>
      <c r="G31" s="1121">
        <v>2439</v>
      </c>
      <c r="H31" s="1121">
        <v>71119.454000000012</v>
      </c>
      <c r="I31" s="1121">
        <v>2273</v>
      </c>
      <c r="J31" s="1121">
        <v>58775.797999999995</v>
      </c>
      <c r="K31" s="1121">
        <v>2457</v>
      </c>
      <c r="L31" s="1121">
        <v>67371.892000000007</v>
      </c>
      <c r="M31" s="1121">
        <v>3193</v>
      </c>
      <c r="N31" s="1121">
        <v>99691.070999999996</v>
      </c>
      <c r="O31" s="1121">
        <v>15133</v>
      </c>
      <c r="P31" s="1121">
        <v>365345.60499999992</v>
      </c>
      <c r="Q31" s="1551" t="s">
        <v>1302</v>
      </c>
    </row>
    <row r="32" spans="1:17" ht="31.5" customHeight="1">
      <c r="A32" s="951">
        <v>20</v>
      </c>
      <c r="B32" s="1550" t="s">
        <v>1303</v>
      </c>
      <c r="C32" s="1121">
        <v>135032</v>
      </c>
      <c r="D32" s="1121">
        <v>3962200.4320000014</v>
      </c>
      <c r="E32" s="1121">
        <v>121405</v>
      </c>
      <c r="F32" s="1121">
        <v>3767095.61</v>
      </c>
      <c r="G32" s="1121">
        <v>124961</v>
      </c>
      <c r="H32" s="1121">
        <v>3624090.6650000019</v>
      </c>
      <c r="I32" s="1121">
        <v>111722</v>
      </c>
      <c r="J32" s="1121">
        <v>3094082.0800000024</v>
      </c>
      <c r="K32" s="1121">
        <v>104592</v>
      </c>
      <c r="L32" s="1121">
        <v>3038068.4250000003</v>
      </c>
      <c r="M32" s="1121">
        <v>109911</v>
      </c>
      <c r="N32" s="1121">
        <v>4408409.1070000017</v>
      </c>
      <c r="O32" s="1121">
        <v>105525</v>
      </c>
      <c r="P32" s="1121">
        <v>4561552.427000002</v>
      </c>
      <c r="Q32" s="1551" t="s">
        <v>1304</v>
      </c>
    </row>
    <row r="33" spans="1:17" s="1555" customFormat="1" ht="31.5" customHeight="1">
      <c r="A33" s="971"/>
      <c r="B33" s="1553" t="s">
        <v>397</v>
      </c>
      <c r="C33" s="994">
        <v>1186382</v>
      </c>
      <c r="D33" s="994">
        <v>38700567.661000013</v>
      </c>
      <c r="E33" s="994">
        <v>1091269</v>
      </c>
      <c r="F33" s="994">
        <v>33490945.594000001</v>
      </c>
      <c r="G33" s="994">
        <v>1107508</v>
      </c>
      <c r="H33" s="994">
        <v>33928182.301000006</v>
      </c>
      <c r="I33" s="994">
        <v>1090368</v>
      </c>
      <c r="J33" s="994">
        <v>34594036.350000001</v>
      </c>
      <c r="K33" s="994">
        <v>1053463</v>
      </c>
      <c r="L33" s="994">
        <v>32850041.445999995</v>
      </c>
      <c r="M33" s="994">
        <v>1231497</v>
      </c>
      <c r="N33" s="994">
        <v>47117734.75500001</v>
      </c>
      <c r="O33" s="994">
        <v>1244410</v>
      </c>
      <c r="P33" s="994">
        <v>44684067.063000001</v>
      </c>
      <c r="Q33" s="1554" t="s">
        <v>386</v>
      </c>
    </row>
    <row r="34" spans="1:17" ht="27.75" customHeight="1">
      <c r="A34" s="1556" t="s">
        <v>1305</v>
      </c>
      <c r="B34" s="1557"/>
      <c r="C34" s="1558"/>
      <c r="D34" s="1558"/>
      <c r="E34" s="1558"/>
      <c r="F34" s="1558"/>
      <c r="G34" s="1558"/>
      <c r="H34" s="1558"/>
      <c r="I34" s="1558"/>
      <c r="J34" s="1558"/>
      <c r="K34" s="1558"/>
      <c r="L34" s="1558"/>
      <c r="M34" s="1558"/>
      <c r="N34" s="1558"/>
      <c r="O34" s="1558"/>
      <c r="P34" s="1558"/>
      <c r="Q34" s="1559" t="s">
        <v>1306</v>
      </c>
    </row>
    <row r="35" spans="1:17" ht="18">
      <c r="A35" s="1556" t="s">
        <v>1307</v>
      </c>
      <c r="B35" s="1557"/>
      <c r="C35" s="1558"/>
      <c r="D35" s="1558"/>
      <c r="E35" s="1558"/>
      <c r="F35" s="1558"/>
      <c r="G35" s="1558"/>
      <c r="H35" s="1558"/>
      <c r="I35" s="1558"/>
      <c r="J35" s="1558"/>
      <c r="K35" s="1558"/>
      <c r="L35" s="1558"/>
      <c r="M35" s="1558"/>
      <c r="N35" s="1558"/>
      <c r="O35" s="1558"/>
      <c r="P35" s="1558"/>
      <c r="Q35" s="1559" t="s">
        <v>1308</v>
      </c>
    </row>
    <row r="36" spans="1:17" ht="18">
      <c r="A36" s="1556"/>
      <c r="B36" s="1557"/>
      <c r="C36" s="1558"/>
      <c r="D36" s="1558"/>
      <c r="E36" s="1558"/>
      <c r="F36" s="1558"/>
      <c r="G36" s="1558"/>
      <c r="H36" s="1558"/>
      <c r="I36" s="1558"/>
      <c r="J36" s="1558"/>
      <c r="K36" s="1558"/>
      <c r="L36" s="1558"/>
      <c r="M36" s="1558"/>
      <c r="N36" s="1558"/>
      <c r="O36" s="1558"/>
      <c r="P36" s="1558"/>
      <c r="Q36" s="1559"/>
    </row>
    <row r="37" spans="1:17">
      <c r="A37" s="1560" t="s">
        <v>1312</v>
      </c>
      <c r="B37" s="1560"/>
      <c r="C37" s="1560"/>
      <c r="D37" s="1560"/>
      <c r="E37" s="1560"/>
      <c r="F37" s="1560"/>
      <c r="G37" s="1560"/>
      <c r="H37" s="1560"/>
      <c r="I37" s="1560"/>
      <c r="J37" s="1560"/>
      <c r="K37" s="1560"/>
      <c r="L37" s="1560"/>
      <c r="M37" s="1560"/>
      <c r="N37" s="1560"/>
      <c r="O37" s="1560"/>
      <c r="P37" s="1560"/>
      <c r="Q37" s="1560"/>
    </row>
    <row r="38" spans="1:17">
      <c r="E38" s="1562"/>
      <c r="F38" s="1562"/>
      <c r="G38" s="1562"/>
      <c r="H38" s="1562"/>
      <c r="I38" s="1562"/>
      <c r="J38" s="1562"/>
      <c r="K38" s="1562"/>
      <c r="L38" s="1562"/>
      <c r="M38" s="1562"/>
      <c r="N38" s="1562"/>
      <c r="O38" s="1562"/>
      <c r="P38" s="1562"/>
    </row>
    <row r="39" spans="1:17">
      <c r="C39" s="1563"/>
      <c r="D39" s="1563"/>
      <c r="E39" s="1563"/>
      <c r="F39" s="1563"/>
      <c r="G39" s="1563"/>
      <c r="H39" s="1563"/>
      <c r="I39" s="1563"/>
      <c r="J39" s="1563"/>
      <c r="K39" s="1563"/>
      <c r="L39" s="1563"/>
      <c r="M39" s="1563"/>
      <c r="N39" s="1563"/>
      <c r="O39" s="1563"/>
      <c r="P39" s="1563"/>
    </row>
    <row r="41" spans="1:17">
      <c r="C41" s="1564"/>
      <c r="D41" s="1564"/>
      <c r="E41" s="1564"/>
      <c r="F41" s="1564"/>
      <c r="G41" s="1564"/>
      <c r="H41" s="1564"/>
      <c r="I41" s="1564"/>
      <c r="J41" s="1564"/>
      <c r="K41" s="1564"/>
      <c r="L41" s="1564"/>
      <c r="M41" s="1564"/>
      <c r="N41" s="1564"/>
      <c r="O41" s="1564"/>
      <c r="P41" s="1564"/>
      <c r="Q41" s="1564"/>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7" activePane="bottomLeft" state="frozen"/>
      <selection activeCell="B12" sqref="B12"/>
      <selection pane="bottomLeft" activeCell="H43" sqref="H43"/>
    </sheetView>
  </sheetViews>
  <sheetFormatPr defaultColWidth="7.85546875" defaultRowHeight="12.75"/>
  <cols>
    <col min="1" max="2" width="9.7109375" style="25" customWidth="1"/>
    <col min="3" max="11" width="14.7109375" style="25" customWidth="1"/>
    <col min="12" max="12" width="14.7109375" style="156" customWidth="1"/>
    <col min="13" max="16384" width="7.85546875" style="25"/>
  </cols>
  <sheetData>
    <row r="1" spans="1:13" s="23" customFormat="1" ht="18">
      <c r="A1" s="16" t="s">
        <v>1792</v>
      </c>
      <c r="B1" s="4"/>
      <c r="C1" s="4"/>
      <c r="D1" s="4"/>
      <c r="E1" s="4"/>
      <c r="F1" s="4"/>
      <c r="G1" s="4"/>
      <c r="H1" s="4"/>
      <c r="I1" s="4"/>
      <c r="J1" s="4"/>
      <c r="K1" s="4"/>
      <c r="L1" s="2031"/>
    </row>
    <row r="2" spans="1:13" s="23" customFormat="1" ht="18">
      <c r="A2" s="2032" t="s">
        <v>7</v>
      </c>
      <c r="B2" s="4"/>
      <c r="C2" s="4"/>
      <c r="D2" s="4"/>
      <c r="E2" s="4"/>
      <c r="F2" s="4"/>
      <c r="G2" s="4"/>
      <c r="H2" s="4"/>
      <c r="I2" s="4"/>
      <c r="J2" s="4"/>
      <c r="K2" s="4"/>
      <c r="L2" s="2031"/>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373</v>
      </c>
      <c r="L6" s="151" t="s">
        <v>374</v>
      </c>
    </row>
    <row r="7" spans="1:13" s="41" customFormat="1" ht="18" customHeight="1">
      <c r="A7" s="28"/>
      <c r="B7" s="43"/>
      <c r="C7" s="264" t="s">
        <v>429</v>
      </c>
      <c r="D7" s="40"/>
      <c r="E7" s="40"/>
      <c r="F7" s="123"/>
      <c r="G7" s="123"/>
      <c r="H7" s="213"/>
      <c r="I7" s="222"/>
      <c r="J7" s="267" t="s">
        <v>430</v>
      </c>
      <c r="K7" s="303"/>
      <c r="L7" s="214"/>
    </row>
    <row r="8" spans="1:13" s="41" customFormat="1" ht="18" customHeight="1">
      <c r="A8" s="158"/>
      <c r="B8" s="104"/>
      <c r="C8" s="265" t="s">
        <v>431</v>
      </c>
      <c r="D8" s="40"/>
      <c r="E8" s="123"/>
      <c r="F8" s="243"/>
      <c r="G8" s="123"/>
      <c r="H8" s="266" t="s">
        <v>432</v>
      </c>
      <c r="I8" s="95"/>
      <c r="J8" s="72"/>
      <c r="K8" s="79" t="s">
        <v>433</v>
      </c>
      <c r="L8" s="152" t="s">
        <v>430</v>
      </c>
    </row>
    <row r="9" spans="1:13" s="34" customFormat="1" ht="18" customHeight="1">
      <c r="A9" s="24" t="s">
        <v>383</v>
      </c>
      <c r="B9" s="74"/>
      <c r="C9" s="39"/>
      <c r="D9" s="75"/>
      <c r="E9" s="75"/>
      <c r="F9" s="76"/>
      <c r="G9" s="77"/>
      <c r="H9" s="78" t="s">
        <v>434</v>
      </c>
      <c r="I9" s="270" t="s">
        <v>435</v>
      </c>
      <c r="J9" s="271" t="s">
        <v>386</v>
      </c>
      <c r="K9" s="79" t="s">
        <v>436</v>
      </c>
      <c r="L9" s="152" t="s">
        <v>437</v>
      </c>
    </row>
    <row r="10" spans="1:13" s="41" customFormat="1" ht="18" customHeight="1">
      <c r="A10" s="80" t="s">
        <v>391</v>
      </c>
      <c r="B10" s="81"/>
      <c r="C10" s="73" t="s">
        <v>438</v>
      </c>
      <c r="D10" s="79" t="s">
        <v>439</v>
      </c>
      <c r="E10" s="79" t="s">
        <v>440</v>
      </c>
      <c r="F10" s="79" t="s">
        <v>441</v>
      </c>
      <c r="G10" s="657" t="s">
        <v>442</v>
      </c>
      <c r="H10" s="79" t="s">
        <v>443</v>
      </c>
      <c r="I10" s="269" t="s">
        <v>444</v>
      </c>
      <c r="J10" s="268" t="s">
        <v>397</v>
      </c>
      <c r="K10" s="64" t="s">
        <v>6</v>
      </c>
      <c r="L10" s="153" t="s">
        <v>6</v>
      </c>
    </row>
    <row r="11" spans="1:13" s="50" customFormat="1" ht="18" customHeight="1">
      <c r="A11" s="82"/>
      <c r="B11" s="83"/>
      <c r="C11" s="84" t="s">
        <v>445</v>
      </c>
      <c r="D11" s="84" t="s">
        <v>446</v>
      </c>
      <c r="E11" s="84" t="s">
        <v>447</v>
      </c>
      <c r="F11" s="84" t="s">
        <v>448</v>
      </c>
      <c r="G11" s="85" t="s">
        <v>449</v>
      </c>
      <c r="H11" s="86" t="s">
        <v>397</v>
      </c>
      <c r="I11" s="84"/>
      <c r="J11" s="84"/>
      <c r="K11" s="64" t="s">
        <v>450</v>
      </c>
      <c r="L11" s="154" t="s">
        <v>451</v>
      </c>
    </row>
    <row r="12" spans="1:13" s="50" customFormat="1" ht="18" customHeight="1">
      <c r="A12" s="87"/>
      <c r="B12" s="88"/>
      <c r="C12" s="48"/>
      <c r="D12" s="89"/>
      <c r="E12" s="90"/>
      <c r="F12" s="90"/>
      <c r="G12" s="91"/>
      <c r="H12" s="92" t="s">
        <v>452</v>
      </c>
      <c r="I12" s="93"/>
      <c r="J12" s="90"/>
      <c r="K12" s="90" t="s">
        <v>453</v>
      </c>
      <c r="L12" s="155" t="s">
        <v>410</v>
      </c>
    </row>
    <row r="13" spans="1:13" s="306" customFormat="1" ht="20.25" customHeight="1">
      <c r="A13" s="405">
        <v>2015</v>
      </c>
      <c r="B13" s="406"/>
      <c r="C13" s="2033">
        <v>512.4</v>
      </c>
      <c r="D13" s="676">
        <v>66.099999999999994</v>
      </c>
      <c r="E13" s="2034">
        <v>19.600000000000001</v>
      </c>
      <c r="F13" s="2034">
        <v>25.1</v>
      </c>
      <c r="G13" s="2034">
        <v>8.3000000000000007</v>
      </c>
      <c r="H13" s="1938">
        <v>631.5</v>
      </c>
      <c r="I13" s="2034">
        <v>18.600000000000001</v>
      </c>
      <c r="J13" s="1938">
        <v>650.1</v>
      </c>
      <c r="K13" s="676">
        <v>124.93659186170002</v>
      </c>
      <c r="L13" s="2035">
        <v>525.16340813830004</v>
      </c>
      <c r="M13" s="314"/>
    </row>
    <row r="14" spans="1:13" s="408" customFormat="1" ht="14.25" customHeight="1">
      <c r="A14" s="356">
        <v>2016</v>
      </c>
      <c r="B14" s="407"/>
      <c r="C14" s="2036">
        <v>529.29999999999995</v>
      </c>
      <c r="D14" s="2027">
        <v>69.7</v>
      </c>
      <c r="E14" s="2037">
        <v>20.6</v>
      </c>
      <c r="F14" s="2037">
        <v>23.2</v>
      </c>
      <c r="G14" s="2037">
        <v>8</v>
      </c>
      <c r="H14" s="2036">
        <v>650.80000000000007</v>
      </c>
      <c r="I14" s="2037">
        <v>19.8</v>
      </c>
      <c r="J14" s="2036">
        <v>670.6</v>
      </c>
      <c r="K14" s="2027">
        <v>135.30073358308633</v>
      </c>
      <c r="L14" s="2036">
        <v>535.29926641691372</v>
      </c>
      <c r="M14" s="314"/>
    </row>
    <row r="15" spans="1:13" s="408" customFormat="1" ht="14.25" customHeight="1">
      <c r="A15" s="356">
        <v>2017</v>
      </c>
      <c r="B15" s="407"/>
      <c r="C15" s="2036">
        <v>517.6</v>
      </c>
      <c r="D15" s="2027">
        <v>71.099999999999994</v>
      </c>
      <c r="E15" s="2037">
        <v>21.8</v>
      </c>
      <c r="F15" s="2037">
        <v>23.4</v>
      </c>
      <c r="G15" s="2037">
        <v>8.1999999999999993</v>
      </c>
      <c r="H15" s="2036">
        <v>642.1</v>
      </c>
      <c r="I15" s="2037">
        <v>20.6</v>
      </c>
      <c r="J15" s="2036">
        <v>662.7</v>
      </c>
      <c r="K15" s="2027">
        <v>135.87010868949105</v>
      </c>
      <c r="L15" s="2036">
        <v>526.82989131050897</v>
      </c>
      <c r="M15" s="314"/>
    </row>
    <row r="16" spans="1:13" s="321" customFormat="1" ht="14.25" customHeight="1">
      <c r="A16" s="770">
        <v>2018</v>
      </c>
      <c r="B16" s="771"/>
      <c r="C16" s="1173">
        <v>522.29999999999995</v>
      </c>
      <c r="D16" s="1197">
        <v>79.400000000000006</v>
      </c>
      <c r="E16" s="1198">
        <v>24.4</v>
      </c>
      <c r="F16" s="1198">
        <v>24.9</v>
      </c>
      <c r="G16" s="1198">
        <v>9.1999999999999993</v>
      </c>
      <c r="H16" s="1173">
        <v>660.19999999999993</v>
      </c>
      <c r="I16" s="1198">
        <v>21.5</v>
      </c>
      <c r="J16" s="1173">
        <v>681.7</v>
      </c>
      <c r="K16" s="1197">
        <v>153.61401866671198</v>
      </c>
      <c r="L16" s="1199">
        <v>528.08598133328803</v>
      </c>
      <c r="M16" s="785"/>
    </row>
    <row r="17" spans="1:22" s="321" customFormat="1" ht="14.25" customHeight="1">
      <c r="A17" s="770">
        <v>2019</v>
      </c>
      <c r="B17" s="771"/>
      <c r="C17" s="1173">
        <v>521.5</v>
      </c>
      <c r="D17" s="1197">
        <v>81</v>
      </c>
      <c r="E17" s="1198">
        <v>28.2</v>
      </c>
      <c r="F17" s="1198">
        <v>24.9</v>
      </c>
      <c r="G17" s="1198">
        <v>9.1</v>
      </c>
      <c r="H17" s="1173">
        <v>664.7</v>
      </c>
      <c r="I17" s="1198">
        <v>22.4</v>
      </c>
      <c r="J17" s="1173">
        <v>687.1</v>
      </c>
      <c r="K17" s="1197">
        <v>152.01815108439322</v>
      </c>
      <c r="L17" s="1199">
        <v>535.08184891560677</v>
      </c>
      <c r="M17" s="785"/>
    </row>
    <row r="18" spans="1:22" s="321" customFormat="1" ht="14.25" customHeight="1">
      <c r="A18" s="770">
        <v>2020</v>
      </c>
      <c r="B18" s="771"/>
      <c r="C18" s="1173">
        <v>575.9</v>
      </c>
      <c r="D18" s="1197">
        <v>82.1</v>
      </c>
      <c r="E18" s="1198">
        <v>29.8</v>
      </c>
      <c r="F18" s="1198">
        <v>24.5</v>
      </c>
      <c r="G18" s="1198">
        <v>9.8000000000000007</v>
      </c>
      <c r="H18" s="1173">
        <v>722.09999999999991</v>
      </c>
      <c r="I18" s="1198">
        <v>23</v>
      </c>
      <c r="J18" s="1173">
        <v>745.1</v>
      </c>
      <c r="K18" s="1197">
        <v>152.14040643960661</v>
      </c>
      <c r="L18" s="1199">
        <v>592.95959356039339</v>
      </c>
      <c r="M18" s="785"/>
    </row>
    <row r="19" spans="1:22" s="321" customFormat="1" ht="14.25" customHeight="1">
      <c r="A19" s="770">
        <v>2021</v>
      </c>
      <c r="B19" s="771"/>
      <c r="C19" s="1173">
        <v>539.70000000000005</v>
      </c>
      <c r="D19" s="1197">
        <v>76.599999999999994</v>
      </c>
      <c r="E19" s="1198">
        <v>31.4</v>
      </c>
      <c r="F19" s="1198">
        <v>24.6</v>
      </c>
      <c r="G19" s="1198">
        <v>8.9</v>
      </c>
      <c r="H19" s="1173">
        <v>681.2</v>
      </c>
      <c r="I19" s="1198">
        <v>22.8</v>
      </c>
      <c r="J19" s="1173">
        <v>704</v>
      </c>
      <c r="K19" s="1197">
        <v>145.95841701867218</v>
      </c>
      <c r="L19" s="1199">
        <v>558.04158298132779</v>
      </c>
      <c r="M19" s="785"/>
    </row>
    <row r="20" spans="1:22" s="321" customFormat="1" ht="14.25" customHeight="1">
      <c r="A20" s="770">
        <v>2022</v>
      </c>
      <c r="B20" s="771"/>
      <c r="C20" s="1173">
        <v>515.9</v>
      </c>
      <c r="D20" s="1197">
        <v>72.7</v>
      </c>
      <c r="E20" s="1198">
        <v>37.299999999999997</v>
      </c>
      <c r="F20" s="1198">
        <v>25.8</v>
      </c>
      <c r="G20" s="1198">
        <v>9.8000000000000007</v>
      </c>
      <c r="H20" s="1173">
        <v>661.49999999999989</v>
      </c>
      <c r="I20" s="1198">
        <v>22.9</v>
      </c>
      <c r="J20" s="1173">
        <v>684.4</v>
      </c>
      <c r="K20" s="1197">
        <v>177.85355717154039</v>
      </c>
      <c r="L20" s="1199">
        <v>506.54644282845959</v>
      </c>
      <c r="M20" s="785"/>
    </row>
    <row r="21" spans="1:22" s="321" customFormat="1" ht="14.25" customHeight="1">
      <c r="A21" s="770">
        <v>2023</v>
      </c>
      <c r="B21" s="771"/>
      <c r="C21" s="1173">
        <f t="shared" ref="C21:L21" si="0">C26</f>
        <v>502.4</v>
      </c>
      <c r="D21" s="1197">
        <f t="shared" si="0"/>
        <v>69.7</v>
      </c>
      <c r="E21" s="1198">
        <f t="shared" si="0"/>
        <v>35.9</v>
      </c>
      <c r="F21" s="1198">
        <f t="shared" si="0"/>
        <v>26.3</v>
      </c>
      <c r="G21" s="1198">
        <f t="shared" si="0"/>
        <v>10.4</v>
      </c>
      <c r="H21" s="1173">
        <f t="shared" si="0"/>
        <v>644.69999999999993</v>
      </c>
      <c r="I21" s="1198">
        <f t="shared" si="0"/>
        <v>23.1</v>
      </c>
      <c r="J21" s="1173">
        <f t="shared" si="0"/>
        <v>667.8</v>
      </c>
      <c r="K21" s="1197">
        <f t="shared" si="0"/>
        <v>135.90690119702001</v>
      </c>
      <c r="L21" s="1199">
        <f t="shared" si="0"/>
        <v>531.89309880297992</v>
      </c>
      <c r="M21" s="785"/>
    </row>
    <row r="22" spans="1:22" s="321" customFormat="1" ht="14.25" customHeight="1">
      <c r="A22" s="930">
        <v>2024</v>
      </c>
      <c r="B22" s="1025"/>
      <c r="C22" s="1083">
        <f t="shared" ref="C22:L22" si="1">C30</f>
        <v>508.5</v>
      </c>
      <c r="D22" s="1112">
        <f t="shared" si="1"/>
        <v>66.7</v>
      </c>
      <c r="E22" s="1349">
        <f t="shared" si="1"/>
        <v>34</v>
      </c>
      <c r="F22" s="1113">
        <f t="shared" si="1"/>
        <v>26.5</v>
      </c>
      <c r="G22" s="1113">
        <f t="shared" si="1"/>
        <v>11.9</v>
      </c>
      <c r="H22" s="1083">
        <f t="shared" si="1"/>
        <v>647.6</v>
      </c>
      <c r="I22" s="1113">
        <f t="shared" si="1"/>
        <v>23.2</v>
      </c>
      <c r="J22" s="1083">
        <f t="shared" si="1"/>
        <v>670.8</v>
      </c>
      <c r="K22" s="1112">
        <f t="shared" si="1"/>
        <v>136.80272008418029</v>
      </c>
      <c r="L22" s="1114">
        <f t="shared" si="1"/>
        <v>533.99727991581972</v>
      </c>
      <c r="M22" s="785"/>
    </row>
    <row r="23" spans="1:22" s="321" customFormat="1" ht="21" customHeight="1">
      <c r="A23" s="770">
        <v>2023</v>
      </c>
      <c r="B23" s="771" t="s">
        <v>243</v>
      </c>
      <c r="C23" s="1173">
        <v>520.29999999999995</v>
      </c>
      <c r="D23" s="1197">
        <v>71.099999999999994</v>
      </c>
      <c r="E23" s="1198">
        <v>36.299999999999997</v>
      </c>
      <c r="F23" s="1198">
        <v>25.9</v>
      </c>
      <c r="G23" s="1198">
        <v>9.6999999999999993</v>
      </c>
      <c r="H23" s="1173">
        <v>663.3</v>
      </c>
      <c r="I23" s="1198">
        <v>23.1</v>
      </c>
      <c r="J23" s="1173">
        <v>686.4</v>
      </c>
      <c r="K23" s="1197">
        <v>131.87541387624393</v>
      </c>
      <c r="L23" s="1173">
        <v>554.52458612375608</v>
      </c>
      <c r="M23" s="785"/>
    </row>
    <row r="24" spans="1:22" s="321" customFormat="1" ht="15">
      <c r="A24" s="770"/>
      <c r="B24" s="771" t="s">
        <v>244</v>
      </c>
      <c r="C24" s="1173">
        <v>527.29999999999995</v>
      </c>
      <c r="D24" s="1197">
        <v>76</v>
      </c>
      <c r="E24" s="1198">
        <v>41</v>
      </c>
      <c r="F24" s="1198">
        <v>29.8</v>
      </c>
      <c r="G24" s="1198">
        <v>12.8</v>
      </c>
      <c r="H24" s="1173">
        <v>686.89999999999986</v>
      </c>
      <c r="I24" s="1198">
        <v>23.2</v>
      </c>
      <c r="J24" s="1173">
        <v>710.1</v>
      </c>
      <c r="K24" s="1197">
        <v>146.66056144833468</v>
      </c>
      <c r="L24" s="1199">
        <v>563.43943855166538</v>
      </c>
      <c r="M24" s="785"/>
    </row>
    <row r="25" spans="1:22" s="321" customFormat="1" ht="15">
      <c r="A25" s="770"/>
      <c r="B25" s="771" t="s">
        <v>245</v>
      </c>
      <c r="C25" s="2038">
        <v>499.3</v>
      </c>
      <c r="D25" s="1197">
        <v>70.099999999999994</v>
      </c>
      <c r="E25" s="2039">
        <v>34.700000000000003</v>
      </c>
      <c r="F25" s="1198">
        <v>27.1</v>
      </c>
      <c r="G25" s="1198">
        <v>11.6</v>
      </c>
      <c r="H25" s="1173">
        <v>642.80000000000007</v>
      </c>
      <c r="I25" s="1198">
        <v>23.2</v>
      </c>
      <c r="J25" s="1173">
        <v>666</v>
      </c>
      <c r="K25" s="1197">
        <v>143.8280445004676</v>
      </c>
      <c r="L25" s="1199">
        <v>522.17195549953237</v>
      </c>
      <c r="M25" s="785"/>
    </row>
    <row r="26" spans="1:22" s="321" customFormat="1" ht="15">
      <c r="A26" s="770"/>
      <c r="B26" s="771" t="s">
        <v>242</v>
      </c>
      <c r="C26" s="1173">
        <v>502.4</v>
      </c>
      <c r="D26" s="1197">
        <v>69.7</v>
      </c>
      <c r="E26" s="1198">
        <v>35.9</v>
      </c>
      <c r="F26" s="1198">
        <v>26.3</v>
      </c>
      <c r="G26" s="1198">
        <v>10.4</v>
      </c>
      <c r="H26" s="1173">
        <v>644.69999999999993</v>
      </c>
      <c r="I26" s="1198">
        <v>23.1</v>
      </c>
      <c r="J26" s="1173">
        <v>667.8</v>
      </c>
      <c r="K26" s="1197">
        <v>135.90690119702001</v>
      </c>
      <c r="L26" s="1199">
        <v>531.89309880297992</v>
      </c>
      <c r="M26" s="785"/>
    </row>
    <row r="27" spans="1:22" s="321" customFormat="1" ht="21" customHeight="1">
      <c r="A27" s="770">
        <v>2024</v>
      </c>
      <c r="B27" s="771" t="s">
        <v>243</v>
      </c>
      <c r="C27" s="1173">
        <f t="shared" ref="C27:L27" si="2">C34</f>
        <v>524.6</v>
      </c>
      <c r="D27" s="1197">
        <f t="shared" si="2"/>
        <v>72.7</v>
      </c>
      <c r="E27" s="1198">
        <f t="shared" si="2"/>
        <v>39.5</v>
      </c>
      <c r="F27" s="1198">
        <f t="shared" si="2"/>
        <v>28.6</v>
      </c>
      <c r="G27" s="1198">
        <f t="shared" si="2"/>
        <v>11.5</v>
      </c>
      <c r="H27" s="1173">
        <f t="shared" si="2"/>
        <v>676.90000000000009</v>
      </c>
      <c r="I27" s="1198">
        <f t="shared" si="2"/>
        <v>23.2</v>
      </c>
      <c r="J27" s="1173">
        <f t="shared" si="2"/>
        <v>700.1</v>
      </c>
      <c r="K27" s="1197">
        <f t="shared" si="2"/>
        <v>188.62148606014091</v>
      </c>
      <c r="L27" s="1173">
        <f t="shared" si="2"/>
        <v>511.47851393985911</v>
      </c>
      <c r="M27" s="785"/>
    </row>
    <row r="28" spans="1:22" s="321" customFormat="1" ht="15" customHeight="1">
      <c r="A28" s="770"/>
      <c r="B28" s="771" t="s">
        <v>244</v>
      </c>
      <c r="C28" s="1173">
        <f t="shared" ref="C28:L28" si="3">C37</f>
        <v>515.29999999999995</v>
      </c>
      <c r="D28" s="1197">
        <f t="shared" si="3"/>
        <v>73.2</v>
      </c>
      <c r="E28" s="1198">
        <f t="shared" si="3"/>
        <v>38.9</v>
      </c>
      <c r="F28" s="1198">
        <f t="shared" si="3"/>
        <v>30.9</v>
      </c>
      <c r="G28" s="1198">
        <f t="shared" si="3"/>
        <v>13.5</v>
      </c>
      <c r="H28" s="1173">
        <f t="shared" si="3"/>
        <v>671.8</v>
      </c>
      <c r="I28" s="1198">
        <f t="shared" si="3"/>
        <v>23.2</v>
      </c>
      <c r="J28" s="1173">
        <f t="shared" si="3"/>
        <v>695</v>
      </c>
      <c r="K28" s="1197">
        <f t="shared" si="3"/>
        <v>156.66274595305768</v>
      </c>
      <c r="L28" s="1173">
        <f t="shared" si="3"/>
        <v>538.33725404694235</v>
      </c>
      <c r="M28" s="785"/>
    </row>
    <row r="29" spans="1:22" s="321" customFormat="1" ht="15" customHeight="1">
      <c r="A29" s="770"/>
      <c r="B29" s="771" t="s">
        <v>245</v>
      </c>
      <c r="C29" s="1173">
        <f t="shared" ref="C29:L29" si="4">C40</f>
        <v>506.1</v>
      </c>
      <c r="D29" s="1197">
        <f t="shared" si="4"/>
        <v>67.900000000000006</v>
      </c>
      <c r="E29" s="1198">
        <f t="shared" si="4"/>
        <v>35.1</v>
      </c>
      <c r="F29" s="1198">
        <f t="shared" si="4"/>
        <v>28</v>
      </c>
      <c r="G29" s="1198">
        <f t="shared" si="4"/>
        <v>12.4</v>
      </c>
      <c r="H29" s="1173">
        <f t="shared" si="4"/>
        <v>649.5</v>
      </c>
      <c r="I29" s="1198">
        <f t="shared" si="4"/>
        <v>23.2</v>
      </c>
      <c r="J29" s="1173">
        <f t="shared" si="4"/>
        <v>672.7</v>
      </c>
      <c r="K29" s="1197">
        <f t="shared" si="4"/>
        <v>128.34604386187928</v>
      </c>
      <c r="L29" s="1173">
        <f t="shared" si="4"/>
        <v>544.35395613812079</v>
      </c>
      <c r="M29" s="785"/>
    </row>
    <row r="30" spans="1:22" s="321" customFormat="1" ht="15" customHeight="1">
      <c r="A30" s="930"/>
      <c r="B30" s="1025" t="s">
        <v>242</v>
      </c>
      <c r="C30" s="1083">
        <f t="shared" ref="C30:L30" si="5">C43</f>
        <v>508.5</v>
      </c>
      <c r="D30" s="1112">
        <f t="shared" si="5"/>
        <v>66.7</v>
      </c>
      <c r="E30" s="1113">
        <f t="shared" si="5"/>
        <v>34</v>
      </c>
      <c r="F30" s="1113">
        <f t="shared" si="5"/>
        <v>26.5</v>
      </c>
      <c r="G30" s="1113">
        <f t="shared" si="5"/>
        <v>11.9</v>
      </c>
      <c r="H30" s="1083">
        <f t="shared" si="5"/>
        <v>647.6</v>
      </c>
      <c r="I30" s="1113">
        <f t="shared" si="5"/>
        <v>23.2</v>
      </c>
      <c r="J30" s="1083">
        <f t="shared" si="5"/>
        <v>670.8</v>
      </c>
      <c r="K30" s="1112">
        <f t="shared" si="5"/>
        <v>136.80272008418029</v>
      </c>
      <c r="L30" s="1083">
        <f t="shared" si="5"/>
        <v>533.99727991581972</v>
      </c>
      <c r="M30" s="785"/>
    </row>
    <row r="31" spans="1:22" s="306" customFormat="1" ht="21" customHeight="1">
      <c r="A31" s="405">
        <v>2023</v>
      </c>
      <c r="B31" s="406" t="s">
        <v>426</v>
      </c>
      <c r="C31" s="1173">
        <v>502.4</v>
      </c>
      <c r="D31" s="1197">
        <v>69.7</v>
      </c>
      <c r="E31" s="1198">
        <v>35.9</v>
      </c>
      <c r="F31" s="1198">
        <v>26.3</v>
      </c>
      <c r="G31" s="1198">
        <v>10.4</v>
      </c>
      <c r="H31" s="1173">
        <v>644.69999999999993</v>
      </c>
      <c r="I31" s="1198">
        <v>23.1</v>
      </c>
      <c r="J31" s="1173">
        <v>667.8</v>
      </c>
      <c r="K31" s="1197">
        <v>135.90690119702001</v>
      </c>
      <c r="L31" s="1199">
        <v>531.89309880297992</v>
      </c>
      <c r="M31" s="801"/>
      <c r="N31" s="321"/>
      <c r="O31" s="321"/>
      <c r="P31" s="321"/>
      <c r="Q31" s="321"/>
      <c r="R31" s="321"/>
      <c r="S31" s="321"/>
      <c r="T31" s="321"/>
      <c r="U31" s="321"/>
      <c r="V31" s="321"/>
    </row>
    <row r="32" spans="1:22" s="306" customFormat="1" ht="21" customHeight="1">
      <c r="A32" s="405">
        <v>2024</v>
      </c>
      <c r="B32" s="406" t="s">
        <v>427</v>
      </c>
      <c r="C32" s="1173">
        <v>498.5</v>
      </c>
      <c r="D32" s="1197">
        <v>67.5</v>
      </c>
      <c r="E32" s="1198">
        <v>34.1</v>
      </c>
      <c r="F32" s="1198">
        <v>25.9</v>
      </c>
      <c r="G32" s="1198">
        <v>10.3</v>
      </c>
      <c r="H32" s="1173">
        <f t="shared" ref="H32" si="6">SUM(C32:G32)</f>
        <v>636.29999999999995</v>
      </c>
      <c r="I32" s="1198">
        <v>23.1</v>
      </c>
      <c r="J32" s="1173">
        <f>'1'!J32</f>
        <v>659.4</v>
      </c>
      <c r="K32" s="1197">
        <f>'14'!C32</f>
        <v>128.80455090506666</v>
      </c>
      <c r="L32" s="1199">
        <f t="shared" ref="L32" si="7">J32-K32</f>
        <v>530.59544909493331</v>
      </c>
      <c r="M32" s="801"/>
      <c r="N32" s="321"/>
      <c r="O32" s="321"/>
      <c r="P32" s="321"/>
      <c r="Q32" s="321"/>
      <c r="R32" s="321"/>
      <c r="S32" s="321"/>
      <c r="T32" s="321"/>
      <c r="U32" s="321"/>
      <c r="V32" s="321"/>
    </row>
    <row r="33" spans="1:22" s="306" customFormat="1" ht="15">
      <c r="A33" s="405"/>
      <c r="B33" s="406" t="s">
        <v>416</v>
      </c>
      <c r="C33" s="1173">
        <v>510.8</v>
      </c>
      <c r="D33" s="1197">
        <v>70.099999999999994</v>
      </c>
      <c r="E33" s="1198">
        <v>34.9</v>
      </c>
      <c r="F33" s="1198">
        <v>26.1</v>
      </c>
      <c r="G33" s="1198">
        <v>10.3</v>
      </c>
      <c r="H33" s="1173">
        <f t="shared" ref="H33" si="8">SUM(C33:G33)</f>
        <v>652.19999999999993</v>
      </c>
      <c r="I33" s="1198">
        <v>23.1</v>
      </c>
      <c r="J33" s="1173">
        <f>'1'!J33</f>
        <v>675.3</v>
      </c>
      <c r="K33" s="1197">
        <f>'14'!C33</f>
        <v>170.22793846236209</v>
      </c>
      <c r="L33" s="1199">
        <f t="shared" ref="L33" si="9">J33-K33</f>
        <v>505.07206153763786</v>
      </c>
      <c r="M33" s="801"/>
      <c r="N33" s="321"/>
      <c r="O33" s="321"/>
      <c r="P33" s="321"/>
      <c r="Q33" s="321"/>
      <c r="R33" s="321"/>
      <c r="S33" s="321"/>
      <c r="T33" s="321"/>
      <c r="U33" s="321"/>
      <c r="V33" s="321"/>
    </row>
    <row r="34" spans="1:22" s="306" customFormat="1" ht="15">
      <c r="A34" s="405"/>
      <c r="B34" s="406" t="s">
        <v>417</v>
      </c>
      <c r="C34" s="1173">
        <v>524.6</v>
      </c>
      <c r="D34" s="1197">
        <v>72.7</v>
      </c>
      <c r="E34" s="1198">
        <v>39.5</v>
      </c>
      <c r="F34" s="1198">
        <v>28.6</v>
      </c>
      <c r="G34" s="1198">
        <v>11.5</v>
      </c>
      <c r="H34" s="1173">
        <f t="shared" ref="H34" si="10">SUM(C34:G34)</f>
        <v>676.90000000000009</v>
      </c>
      <c r="I34" s="1198">
        <v>23.2</v>
      </c>
      <c r="J34" s="1173">
        <f>'1'!J34</f>
        <v>700.1</v>
      </c>
      <c r="K34" s="1197">
        <f>'14'!C34</f>
        <v>188.62148606014091</v>
      </c>
      <c r="L34" s="1199">
        <f t="shared" ref="L34" si="11">J34-K34</f>
        <v>511.47851393985911</v>
      </c>
      <c r="M34" s="801"/>
      <c r="N34" s="321"/>
      <c r="O34" s="321"/>
      <c r="P34" s="321"/>
      <c r="Q34" s="321"/>
      <c r="R34" s="321"/>
      <c r="S34" s="321"/>
      <c r="T34" s="321"/>
      <c r="U34" s="321"/>
      <c r="V34" s="321"/>
    </row>
    <row r="35" spans="1:22" s="306" customFormat="1" ht="15">
      <c r="A35" s="405"/>
      <c r="B35" s="406" t="s">
        <v>418</v>
      </c>
      <c r="C35" s="1173">
        <v>529.29999999999995</v>
      </c>
      <c r="D35" s="1197">
        <v>74.2</v>
      </c>
      <c r="E35" s="1198">
        <v>38.5</v>
      </c>
      <c r="F35" s="1198">
        <v>29.5</v>
      </c>
      <c r="G35" s="1198">
        <v>12.3</v>
      </c>
      <c r="H35" s="1173">
        <f t="shared" ref="H35" si="12">SUM(C35:G35)</f>
        <v>683.8</v>
      </c>
      <c r="I35" s="1198">
        <v>23.2</v>
      </c>
      <c r="J35" s="1173">
        <f>'1'!J35</f>
        <v>707</v>
      </c>
      <c r="K35" s="1197">
        <f>'14'!C35</f>
        <v>205.59128444551789</v>
      </c>
      <c r="L35" s="1199">
        <f t="shared" ref="L35" si="13">J35-K35</f>
        <v>501.40871555448211</v>
      </c>
      <c r="M35" s="801"/>
      <c r="N35" s="321"/>
      <c r="O35" s="321"/>
      <c r="P35" s="321"/>
      <c r="Q35" s="321"/>
      <c r="R35" s="321"/>
      <c r="S35" s="321"/>
      <c r="T35" s="321"/>
      <c r="U35" s="321"/>
      <c r="V35" s="321"/>
    </row>
    <row r="36" spans="1:22" s="306" customFormat="1" ht="15">
      <c r="A36" s="405"/>
      <c r="B36" s="406" t="s">
        <v>419</v>
      </c>
      <c r="C36" s="1173">
        <v>527.70000000000005</v>
      </c>
      <c r="D36" s="1197">
        <v>73.099999999999994</v>
      </c>
      <c r="E36" s="1198">
        <v>37.5</v>
      </c>
      <c r="F36" s="1198">
        <v>28.7</v>
      </c>
      <c r="G36" s="1198">
        <v>12.1</v>
      </c>
      <c r="H36" s="1173">
        <f t="shared" ref="H36" si="14">SUM(C36:G36)</f>
        <v>679.10000000000014</v>
      </c>
      <c r="I36" s="1198">
        <v>23.2</v>
      </c>
      <c r="J36" s="1173">
        <f>'1'!J36</f>
        <v>702.3</v>
      </c>
      <c r="K36" s="1197">
        <f>'14'!C36</f>
        <v>174.53910870569891</v>
      </c>
      <c r="L36" s="1199">
        <f t="shared" ref="L36" si="15">J36-K36</f>
        <v>527.76089129430102</v>
      </c>
      <c r="M36" s="801"/>
      <c r="N36" s="321"/>
      <c r="O36" s="321"/>
      <c r="P36" s="321"/>
      <c r="Q36" s="321"/>
      <c r="R36" s="321"/>
      <c r="S36" s="321"/>
      <c r="T36" s="321"/>
      <c r="U36" s="321"/>
      <c r="V36" s="321"/>
    </row>
    <row r="37" spans="1:22" s="306" customFormat="1" ht="15">
      <c r="A37" s="405"/>
      <c r="B37" s="406" t="s">
        <v>420</v>
      </c>
      <c r="C37" s="1173">
        <v>515.29999999999995</v>
      </c>
      <c r="D37" s="1197">
        <v>73.2</v>
      </c>
      <c r="E37" s="1198">
        <v>38.9</v>
      </c>
      <c r="F37" s="1198">
        <v>30.9</v>
      </c>
      <c r="G37" s="1198">
        <v>13.5</v>
      </c>
      <c r="H37" s="1173">
        <f t="shared" ref="H37" si="16">SUM(C37:G37)</f>
        <v>671.8</v>
      </c>
      <c r="I37" s="1198">
        <v>23.2</v>
      </c>
      <c r="J37" s="1173">
        <f>'1'!J37</f>
        <v>695</v>
      </c>
      <c r="K37" s="1197">
        <f>'14'!C37</f>
        <v>156.66274595305768</v>
      </c>
      <c r="L37" s="1199">
        <f t="shared" ref="L37" si="17">J37-K37</f>
        <v>538.33725404694235</v>
      </c>
      <c r="M37" s="801"/>
      <c r="N37" s="321"/>
      <c r="O37" s="321"/>
      <c r="P37" s="321"/>
      <c r="Q37" s="321"/>
      <c r="R37" s="321"/>
      <c r="S37" s="321"/>
      <c r="T37" s="321"/>
      <c r="U37" s="321"/>
      <c r="V37" s="321"/>
    </row>
    <row r="38" spans="1:22" s="306" customFormat="1" ht="15">
      <c r="A38" s="405"/>
      <c r="B38" s="406" t="s">
        <v>421</v>
      </c>
      <c r="C38" s="1173">
        <v>502.9</v>
      </c>
      <c r="D38" s="1197">
        <v>70.400000000000006</v>
      </c>
      <c r="E38" s="1198">
        <v>35.5</v>
      </c>
      <c r="F38" s="1198">
        <v>29.1</v>
      </c>
      <c r="G38" s="1198">
        <v>12.9</v>
      </c>
      <c r="H38" s="1173">
        <f t="shared" ref="H38" si="18">SUM(C38:G38)</f>
        <v>650.79999999999995</v>
      </c>
      <c r="I38" s="1198">
        <v>23.2</v>
      </c>
      <c r="J38" s="1173">
        <f>'1'!J38</f>
        <v>674</v>
      </c>
      <c r="K38" s="1197">
        <f>'14'!C38</f>
        <v>148.75199516126648</v>
      </c>
      <c r="L38" s="1199">
        <f t="shared" ref="L38" si="19">J38-K38</f>
        <v>525.24800483873355</v>
      </c>
      <c r="M38" s="801"/>
      <c r="N38" s="321"/>
      <c r="O38" s="321"/>
      <c r="P38" s="321"/>
      <c r="Q38" s="321"/>
      <c r="R38" s="321"/>
      <c r="S38" s="321"/>
      <c r="T38" s="321"/>
      <c r="U38" s="321"/>
      <c r="V38" s="321"/>
    </row>
    <row r="39" spans="1:22" s="306" customFormat="1" ht="15">
      <c r="A39" s="405"/>
      <c r="B39" s="406" t="s">
        <v>422</v>
      </c>
      <c r="C39" s="1173">
        <v>504.4</v>
      </c>
      <c r="D39" s="1197">
        <v>69.599999999999994</v>
      </c>
      <c r="E39" s="1198">
        <v>36.200000000000003</v>
      </c>
      <c r="F39" s="1198">
        <v>28.4</v>
      </c>
      <c r="G39" s="1198">
        <v>12.5</v>
      </c>
      <c r="H39" s="1173">
        <f t="shared" ref="H39" si="20">SUM(C39:G39)</f>
        <v>651.1</v>
      </c>
      <c r="I39" s="1198">
        <v>23.2</v>
      </c>
      <c r="J39" s="1173">
        <f>'1'!J39</f>
        <v>674.3</v>
      </c>
      <c r="K39" s="1197">
        <f>'14'!C39</f>
        <v>124.94087346554389</v>
      </c>
      <c r="L39" s="1199">
        <f t="shared" ref="L39" si="21">J39-K39</f>
        <v>549.3591265344561</v>
      </c>
      <c r="M39" s="801"/>
      <c r="N39" s="321"/>
      <c r="O39" s="321"/>
      <c r="P39" s="321"/>
      <c r="Q39" s="321"/>
      <c r="R39" s="321"/>
      <c r="S39" s="321"/>
      <c r="T39" s="321"/>
      <c r="U39" s="321"/>
      <c r="V39" s="321"/>
    </row>
    <row r="40" spans="1:22" s="306" customFormat="1" ht="15">
      <c r="A40" s="405"/>
      <c r="B40" s="406" t="s">
        <v>423</v>
      </c>
      <c r="C40" s="1173">
        <v>506.1</v>
      </c>
      <c r="D40" s="1197">
        <v>67.900000000000006</v>
      </c>
      <c r="E40" s="1198">
        <v>35.1</v>
      </c>
      <c r="F40" s="1198">
        <v>28</v>
      </c>
      <c r="G40" s="1198">
        <v>12.4</v>
      </c>
      <c r="H40" s="1173">
        <f t="shared" ref="H40" si="22">SUM(C40:G40)</f>
        <v>649.5</v>
      </c>
      <c r="I40" s="1198">
        <v>23.2</v>
      </c>
      <c r="J40" s="1173">
        <f>'1'!J40</f>
        <v>672.7</v>
      </c>
      <c r="K40" s="1197">
        <f>'14'!C40</f>
        <v>128.34604386187928</v>
      </c>
      <c r="L40" s="1199">
        <f t="shared" ref="L40" si="23">J40-K40</f>
        <v>544.35395613812079</v>
      </c>
      <c r="M40" s="801"/>
      <c r="N40" s="321"/>
      <c r="O40" s="321"/>
      <c r="P40" s="321"/>
      <c r="Q40" s="321"/>
      <c r="R40" s="321"/>
      <c r="S40" s="321"/>
      <c r="T40" s="321"/>
      <c r="U40" s="321"/>
      <c r="V40" s="321"/>
    </row>
    <row r="41" spans="1:22" s="306" customFormat="1" ht="15">
      <c r="A41" s="405"/>
      <c r="B41" s="406" t="s">
        <v>424</v>
      </c>
      <c r="C41" s="1173">
        <v>512.4</v>
      </c>
      <c r="D41" s="1197">
        <v>67.8</v>
      </c>
      <c r="E41" s="1198">
        <v>35.299999999999997</v>
      </c>
      <c r="F41" s="1198">
        <v>27.4</v>
      </c>
      <c r="G41" s="1198">
        <v>12.2</v>
      </c>
      <c r="H41" s="1173">
        <f t="shared" ref="H41" si="24">SUM(C41:G41)</f>
        <v>655.09999999999991</v>
      </c>
      <c r="I41" s="1198">
        <v>23.2</v>
      </c>
      <c r="J41" s="1173">
        <f>'1'!J41</f>
        <v>678.3</v>
      </c>
      <c r="K41" s="1197">
        <f>'14'!C41</f>
        <v>128.57536755232715</v>
      </c>
      <c r="L41" s="1199">
        <f t="shared" ref="L41" si="25">J41-K41</f>
        <v>549.72463244767278</v>
      </c>
      <c r="M41" s="801"/>
      <c r="N41" s="321"/>
      <c r="O41" s="321"/>
      <c r="P41" s="321"/>
      <c r="Q41" s="321"/>
      <c r="R41" s="321"/>
      <c r="S41" s="321"/>
      <c r="T41" s="321"/>
      <c r="U41" s="321"/>
      <c r="V41" s="321"/>
    </row>
    <row r="42" spans="1:22" s="306" customFormat="1" ht="15">
      <c r="A42" s="405"/>
      <c r="B42" s="406" t="s">
        <v>425</v>
      </c>
      <c r="C42" s="1173">
        <v>518.1</v>
      </c>
      <c r="D42" s="1197">
        <v>67.7</v>
      </c>
      <c r="E42" s="1198">
        <v>34.4</v>
      </c>
      <c r="F42" s="1198">
        <v>27</v>
      </c>
      <c r="G42" s="1198">
        <v>11.8</v>
      </c>
      <c r="H42" s="1173">
        <f t="shared" ref="H42" si="26">SUM(C42:G42)</f>
        <v>659</v>
      </c>
      <c r="I42" s="1198">
        <v>23.2</v>
      </c>
      <c r="J42" s="1173">
        <f>'1'!J42</f>
        <v>682.2</v>
      </c>
      <c r="K42" s="1197">
        <f>'14'!C42</f>
        <v>138.1821236248075</v>
      </c>
      <c r="L42" s="1199">
        <f t="shared" ref="L42" si="27">J42-K42</f>
        <v>544.0178763751926</v>
      </c>
      <c r="M42" s="801"/>
      <c r="N42" s="321"/>
      <c r="O42" s="321"/>
      <c r="P42" s="321"/>
      <c r="Q42" s="321"/>
      <c r="R42" s="321"/>
      <c r="S42" s="321"/>
      <c r="T42" s="321"/>
      <c r="U42" s="321"/>
      <c r="V42" s="321"/>
    </row>
    <row r="43" spans="1:22" s="306" customFormat="1" ht="15">
      <c r="A43" s="405"/>
      <c r="B43" s="406" t="s">
        <v>426</v>
      </c>
      <c r="C43" s="1173">
        <v>508.5</v>
      </c>
      <c r="D43" s="1197">
        <v>66.7</v>
      </c>
      <c r="E43" s="1198">
        <v>34</v>
      </c>
      <c r="F43" s="1198">
        <v>26.5</v>
      </c>
      <c r="G43" s="1198">
        <v>11.9</v>
      </c>
      <c r="H43" s="1173">
        <f t="shared" ref="H43" si="28">SUM(C43:G43)</f>
        <v>647.6</v>
      </c>
      <c r="I43" s="1198">
        <v>23.2</v>
      </c>
      <c r="J43" s="1173">
        <f>'1'!J43</f>
        <v>670.8</v>
      </c>
      <c r="K43" s="1197">
        <f>'14'!C43</f>
        <v>136.80272008418029</v>
      </c>
      <c r="L43" s="1199">
        <f t="shared" ref="L43" si="29">J43-K43</f>
        <v>533.99727991581972</v>
      </c>
      <c r="M43" s="801"/>
      <c r="N43" s="321"/>
      <c r="O43" s="321"/>
      <c r="P43" s="321"/>
      <c r="Q43" s="321"/>
      <c r="R43" s="321"/>
      <c r="S43" s="321"/>
      <c r="T43" s="321"/>
      <c r="U43" s="321"/>
      <c r="V43" s="321"/>
    </row>
    <row r="44" spans="1:22" ht="19.5" customHeight="1">
      <c r="A44" s="221" t="s">
        <v>454</v>
      </c>
      <c r="B44" s="220"/>
      <c r="C44" s="220"/>
      <c r="D44" s="220"/>
      <c r="E44" s="220"/>
      <c r="F44" s="220"/>
      <c r="G44" s="220"/>
      <c r="H44" s="220"/>
      <c r="I44" s="220"/>
      <c r="J44" s="220"/>
      <c r="K44" s="220"/>
      <c r="L44" s="235" t="s">
        <v>455</v>
      </c>
    </row>
    <row r="45" spans="1:22" ht="14.25">
      <c r="C45" s="2040"/>
      <c r="H45" s="2040"/>
      <c r="I45" s="146"/>
      <c r="J45" s="304"/>
      <c r="L45" s="157"/>
    </row>
    <row r="46" spans="1:22" ht="14.25">
      <c r="C46" s="2040"/>
      <c r="H46" s="2040"/>
      <c r="L46" s="150"/>
    </row>
    <row r="47" spans="1:22" ht="14.25">
      <c r="A47" s="318" t="s">
        <v>456</v>
      </c>
      <c r="B47" s="3"/>
      <c r="C47" s="2041"/>
      <c r="D47" s="3"/>
      <c r="E47" s="3"/>
      <c r="F47" s="3"/>
      <c r="G47" s="3"/>
      <c r="H47" s="2041"/>
      <c r="I47" s="3"/>
      <c r="J47" s="3"/>
      <c r="K47" s="3"/>
      <c r="L47" s="150"/>
    </row>
  </sheetData>
  <phoneticPr fontId="0" type="noConversion"/>
  <printOptions horizontalCentered="1" verticalCentered="1"/>
  <pageMargins left="0" right="0" top="0" bottom="0" header="0.51181102362204722" footer="0.51181102362204722"/>
  <pageSetup paperSize="9" orientation="landscape" horizontalDpi="4294967295" verticalDpi="4294967295"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Q41"/>
  <sheetViews>
    <sheetView topLeftCell="E27" zoomScale="70" zoomScaleNormal="70" workbookViewId="0">
      <selection activeCell="A11" sqref="B12"/>
    </sheetView>
  </sheetViews>
  <sheetFormatPr defaultColWidth="18.28515625" defaultRowHeight="15"/>
  <cols>
    <col min="1" max="1" width="6.140625" style="1561" customWidth="1"/>
    <col min="2" max="2" width="45.85546875" style="1537" customWidth="1"/>
    <col min="3" max="3" width="15" style="1537" bestFit="1" customWidth="1"/>
    <col min="4" max="4" width="15.5703125" style="1537" bestFit="1" customWidth="1"/>
    <col min="5" max="5" width="15" style="1537" bestFit="1" customWidth="1"/>
    <col min="6" max="6" width="15.5703125" style="1537" bestFit="1" customWidth="1"/>
    <col min="7" max="7" width="15" style="1537" bestFit="1" customWidth="1"/>
    <col min="8" max="8" width="15.5703125" style="1537" bestFit="1" customWidth="1"/>
    <col min="9" max="9" width="15" style="1537" bestFit="1" customWidth="1"/>
    <col min="10" max="10" width="15.5703125" style="1537" bestFit="1" customWidth="1"/>
    <col min="11" max="11" width="15" style="1537" bestFit="1" customWidth="1"/>
    <col min="12" max="12" width="15.5703125" style="1537" bestFit="1" customWidth="1"/>
    <col min="13" max="13" width="15" style="1537" bestFit="1" customWidth="1"/>
    <col min="14" max="14" width="15.5703125" style="1537" bestFit="1" customWidth="1"/>
    <col min="15" max="15" width="15" style="1537" bestFit="1" customWidth="1"/>
    <col min="16" max="16" width="15.5703125" style="1537" bestFit="1" customWidth="1"/>
    <col min="17" max="17" width="46.7109375" style="1537" customWidth="1"/>
    <col min="18" max="16384" width="18.28515625" style="1537"/>
  </cols>
  <sheetData>
    <row r="1" spans="1:17" ht="18" customHeight="1">
      <c r="A1" s="977" t="s">
        <v>1749</v>
      </c>
      <c r="B1" s="976"/>
      <c r="C1" s="976"/>
      <c r="D1" s="976"/>
      <c r="E1" s="976"/>
      <c r="F1" s="976"/>
      <c r="G1" s="976"/>
      <c r="H1" s="976"/>
      <c r="I1" s="976"/>
      <c r="J1" s="976"/>
      <c r="K1" s="976"/>
      <c r="L1" s="976"/>
      <c r="M1" s="976"/>
      <c r="N1" s="976"/>
      <c r="O1" s="976"/>
      <c r="P1" s="976"/>
      <c r="Q1" s="976"/>
    </row>
    <row r="2" spans="1:17" ht="18" customHeight="1">
      <c r="A2" s="977" t="s">
        <v>1313</v>
      </c>
      <c r="B2" s="1538"/>
      <c r="C2" s="1538"/>
      <c r="D2" s="1538"/>
      <c r="E2" s="1538"/>
      <c r="F2" s="1538"/>
      <c r="G2" s="1538"/>
      <c r="H2" s="1538"/>
      <c r="I2" s="1538"/>
      <c r="J2" s="1538"/>
      <c r="K2" s="1538"/>
      <c r="L2" s="1538"/>
      <c r="M2" s="1538"/>
      <c r="N2" s="1538"/>
      <c r="O2" s="1538"/>
      <c r="P2" s="1538"/>
      <c r="Q2" s="1538"/>
    </row>
    <row r="3" spans="1:17" ht="18">
      <c r="A3" s="977" t="s">
        <v>1314</v>
      </c>
      <c r="B3" s="976"/>
      <c r="C3" s="976"/>
      <c r="D3" s="976"/>
      <c r="E3" s="976"/>
      <c r="F3" s="976"/>
      <c r="G3" s="976"/>
      <c r="H3" s="976"/>
      <c r="I3" s="976"/>
      <c r="J3" s="976"/>
      <c r="K3" s="976"/>
      <c r="L3" s="976"/>
      <c r="M3" s="976"/>
      <c r="N3" s="976"/>
      <c r="O3" s="976"/>
      <c r="P3" s="976"/>
      <c r="Q3" s="976"/>
    </row>
    <row r="4" spans="1:17" ht="4.5" customHeight="1">
      <c r="A4" s="976"/>
      <c r="B4" s="976"/>
      <c r="C4" s="1539"/>
      <c r="D4" s="1539"/>
      <c r="E4" s="1539"/>
      <c r="F4" s="1539"/>
      <c r="G4" s="1539"/>
      <c r="H4" s="1539"/>
      <c r="I4" s="1539"/>
      <c r="J4" s="1539"/>
      <c r="K4" s="1539"/>
      <c r="L4" s="1539"/>
      <c r="M4" s="1539"/>
      <c r="N4" s="1539"/>
      <c r="O4" s="1539"/>
      <c r="P4" s="1539"/>
      <c r="Q4" s="976"/>
    </row>
    <row r="5" spans="1:17" ht="15.75" hidden="1" customHeight="1">
      <c r="A5" s="976"/>
      <c r="B5" s="976"/>
      <c r="C5" s="1539"/>
      <c r="D5" s="1539"/>
      <c r="E5" s="1539"/>
      <c r="F5" s="1539"/>
      <c r="G5" s="1539"/>
      <c r="H5" s="1539"/>
      <c r="I5" s="1539"/>
      <c r="J5" s="1539"/>
      <c r="K5" s="1539"/>
      <c r="L5" s="1539"/>
      <c r="M5" s="1539"/>
      <c r="N5" s="1539"/>
      <c r="O5" s="1539"/>
      <c r="P5" s="1539"/>
      <c r="Q5" s="976"/>
    </row>
    <row r="6" spans="1:17" ht="15.75" hidden="1" customHeight="1">
      <c r="A6" s="976"/>
      <c r="B6" s="976"/>
      <c r="C6" s="1539"/>
      <c r="D6" s="1539"/>
      <c r="E6" s="1539"/>
      <c r="F6" s="1539"/>
      <c r="G6" s="1539"/>
      <c r="H6" s="1539"/>
      <c r="I6" s="1539"/>
      <c r="J6" s="1539"/>
      <c r="K6" s="1539"/>
      <c r="L6" s="1539"/>
      <c r="M6" s="1539"/>
      <c r="N6" s="1539"/>
      <c r="O6" s="1539"/>
      <c r="P6" s="1539"/>
      <c r="Q6" s="976"/>
    </row>
    <row r="7" spans="1:17" ht="15.75" hidden="1" customHeight="1">
      <c r="A7" s="976"/>
      <c r="B7" s="976"/>
      <c r="C7" s="1539"/>
      <c r="D7" s="1539"/>
      <c r="E7" s="1539"/>
      <c r="F7" s="1539"/>
      <c r="G7" s="1539"/>
      <c r="H7" s="1539"/>
      <c r="I7" s="1539"/>
      <c r="J7" s="1539"/>
      <c r="K7" s="1539"/>
      <c r="L7" s="1539"/>
      <c r="M7" s="1539"/>
      <c r="N7" s="1539"/>
      <c r="O7" s="1539"/>
      <c r="P7" s="1539"/>
      <c r="Q7" s="976"/>
    </row>
    <row r="8" spans="1:17">
      <c r="A8" s="853" t="s">
        <v>1264</v>
      </c>
      <c r="D8" s="853"/>
      <c r="F8" s="853"/>
      <c r="H8" s="853"/>
      <c r="J8" s="853"/>
      <c r="L8" s="853"/>
      <c r="N8" s="853"/>
      <c r="P8" s="853"/>
      <c r="Q8" s="853" t="s">
        <v>1265</v>
      </c>
    </row>
    <row r="9" spans="1:17" s="1542" customFormat="1" ht="20.25" customHeight="1">
      <c r="A9" s="1540"/>
      <c r="B9" s="1540" t="s">
        <v>860</v>
      </c>
      <c r="C9" s="1541">
        <v>2024</v>
      </c>
      <c r="D9" s="1541"/>
      <c r="E9" s="1541"/>
      <c r="F9" s="1541"/>
      <c r="G9" s="1541"/>
      <c r="H9" s="1541"/>
      <c r="I9" s="1541"/>
      <c r="J9" s="1541"/>
      <c r="K9" s="1541"/>
      <c r="L9" s="1541"/>
      <c r="M9" s="1541"/>
      <c r="N9" s="1541"/>
      <c r="O9" s="1541"/>
      <c r="P9" s="1541"/>
      <c r="Q9" s="1540" t="s">
        <v>861</v>
      </c>
    </row>
    <row r="10" spans="1:17" s="1542" customFormat="1" ht="20.25" customHeight="1">
      <c r="A10" s="1543"/>
      <c r="B10" s="1543"/>
      <c r="C10" s="1544" t="s">
        <v>1680</v>
      </c>
      <c r="D10" s="1545"/>
      <c r="E10" s="1544" t="s">
        <v>1686</v>
      </c>
      <c r="F10" s="1545"/>
      <c r="G10" s="1544" t="s">
        <v>1694</v>
      </c>
      <c r="H10" s="1545"/>
      <c r="I10" s="1544" t="s">
        <v>1700</v>
      </c>
      <c r="J10" s="1545"/>
      <c r="K10" s="1544" t="s">
        <v>1706</v>
      </c>
      <c r="L10" s="1545"/>
      <c r="M10" s="1544" t="s">
        <v>1713</v>
      </c>
      <c r="N10" s="1545"/>
      <c r="O10" s="1544" t="s">
        <v>1721</v>
      </c>
      <c r="P10" s="1545"/>
      <c r="Q10" s="1543"/>
    </row>
    <row r="11" spans="1:17" s="1542" customFormat="1" ht="15.75">
      <c r="A11" s="1543"/>
      <c r="B11" s="1543"/>
      <c r="C11" s="944" t="s">
        <v>1248</v>
      </c>
      <c r="D11" s="944" t="s">
        <v>1217</v>
      </c>
      <c r="E11" s="944" t="s">
        <v>1248</v>
      </c>
      <c r="F11" s="944" t="s">
        <v>1217</v>
      </c>
      <c r="G11" s="944" t="s">
        <v>1248</v>
      </c>
      <c r="H11" s="944" t="s">
        <v>1217</v>
      </c>
      <c r="I11" s="944" t="s">
        <v>1248</v>
      </c>
      <c r="J11" s="944" t="s">
        <v>1217</v>
      </c>
      <c r="K11" s="944" t="s">
        <v>1248</v>
      </c>
      <c r="L11" s="944" t="s">
        <v>1217</v>
      </c>
      <c r="M11" s="944" t="s">
        <v>1248</v>
      </c>
      <c r="N11" s="944" t="s">
        <v>1217</v>
      </c>
      <c r="O11" s="944" t="s">
        <v>1248</v>
      </c>
      <c r="P11" s="944" t="s">
        <v>1217</v>
      </c>
      <c r="Q11" s="1543"/>
    </row>
    <row r="12" spans="1:17" s="1547" customFormat="1" ht="15.75">
      <c r="A12" s="1546"/>
      <c r="B12" s="1546"/>
      <c r="C12" s="974" t="s">
        <v>1266</v>
      </c>
      <c r="D12" s="974" t="s">
        <v>1219</v>
      </c>
      <c r="E12" s="974" t="s">
        <v>1266</v>
      </c>
      <c r="F12" s="974" t="s">
        <v>1219</v>
      </c>
      <c r="G12" s="974" t="s">
        <v>1266</v>
      </c>
      <c r="H12" s="974" t="s">
        <v>1219</v>
      </c>
      <c r="I12" s="974" t="s">
        <v>1266</v>
      </c>
      <c r="J12" s="974" t="s">
        <v>1219</v>
      </c>
      <c r="K12" s="974" t="s">
        <v>1266</v>
      </c>
      <c r="L12" s="974" t="s">
        <v>1219</v>
      </c>
      <c r="M12" s="974" t="s">
        <v>1266</v>
      </c>
      <c r="N12" s="974" t="s">
        <v>1219</v>
      </c>
      <c r="O12" s="974" t="s">
        <v>1266</v>
      </c>
      <c r="P12" s="974" t="s">
        <v>1219</v>
      </c>
      <c r="Q12" s="1546"/>
    </row>
    <row r="13" spans="1:17" ht="31.5" customHeight="1">
      <c r="A13" s="951">
        <v>1</v>
      </c>
      <c r="B13" s="1548" t="s">
        <v>895</v>
      </c>
      <c r="C13" s="1121">
        <v>11500</v>
      </c>
      <c r="D13" s="1121">
        <v>1202483.1189999999</v>
      </c>
      <c r="E13" s="1121">
        <v>6282</v>
      </c>
      <c r="F13" s="1121">
        <v>922526.16199999989</v>
      </c>
      <c r="G13" s="1121">
        <v>9588</v>
      </c>
      <c r="H13" s="1121">
        <v>1946941.628</v>
      </c>
      <c r="I13" s="1121">
        <v>22614</v>
      </c>
      <c r="J13" s="1121">
        <v>2490300.9910000004</v>
      </c>
      <c r="K13" s="1121">
        <v>18479</v>
      </c>
      <c r="L13" s="1121">
        <v>1607563.419</v>
      </c>
      <c r="M13" s="1121">
        <v>19666</v>
      </c>
      <c r="N13" s="1121">
        <v>1425648.43</v>
      </c>
      <c r="O13" s="1121">
        <v>525922</v>
      </c>
      <c r="P13" s="1121">
        <v>6150356.7400000012</v>
      </c>
      <c r="Q13" s="1549" t="s">
        <v>896</v>
      </c>
    </row>
    <row r="14" spans="1:17" ht="43.5" customHeight="1">
      <c r="A14" s="951">
        <v>2</v>
      </c>
      <c r="B14" s="1550" t="s">
        <v>1267</v>
      </c>
      <c r="C14" s="1121">
        <v>38591</v>
      </c>
      <c r="D14" s="1121">
        <v>1121810.4499999997</v>
      </c>
      <c r="E14" s="1121">
        <v>29434</v>
      </c>
      <c r="F14" s="1121">
        <v>858332.02899999998</v>
      </c>
      <c r="G14" s="1121">
        <v>28773</v>
      </c>
      <c r="H14" s="1121">
        <v>818455.15799999994</v>
      </c>
      <c r="I14" s="1121">
        <v>23992</v>
      </c>
      <c r="J14" s="1121">
        <v>714441.36100000003</v>
      </c>
      <c r="K14" s="1121">
        <v>24015</v>
      </c>
      <c r="L14" s="1121">
        <v>704323.43400000012</v>
      </c>
      <c r="M14" s="1121">
        <v>21269</v>
      </c>
      <c r="N14" s="1121">
        <v>653232.17700000014</v>
      </c>
      <c r="O14" s="1121">
        <v>20800</v>
      </c>
      <c r="P14" s="1121">
        <v>940033.44700000004</v>
      </c>
      <c r="Q14" s="1551" t="s">
        <v>1268</v>
      </c>
    </row>
    <row r="15" spans="1:17" ht="31.5" customHeight="1">
      <c r="A15" s="951">
        <v>3</v>
      </c>
      <c r="B15" s="1550" t="s">
        <v>1269</v>
      </c>
      <c r="C15" s="1121">
        <v>3335902</v>
      </c>
      <c r="D15" s="1121">
        <v>19093354.618999999</v>
      </c>
      <c r="E15" s="1121">
        <v>3156779</v>
      </c>
      <c r="F15" s="1121">
        <v>16853058.587000001</v>
      </c>
      <c r="G15" s="1121">
        <v>3133390</v>
      </c>
      <c r="H15" s="1121">
        <v>16706282.518000001</v>
      </c>
      <c r="I15" s="1121">
        <v>3115159</v>
      </c>
      <c r="J15" s="1121">
        <v>16377504.739</v>
      </c>
      <c r="K15" s="1121">
        <v>3369888</v>
      </c>
      <c r="L15" s="1121">
        <v>16864589.717</v>
      </c>
      <c r="M15" s="1121">
        <v>3149141</v>
      </c>
      <c r="N15" s="1121">
        <v>15814612.26</v>
      </c>
      <c r="O15" s="1121">
        <v>3511798</v>
      </c>
      <c r="P15" s="1121">
        <v>17414394.346000001</v>
      </c>
      <c r="Q15" s="1551" t="s">
        <v>1270</v>
      </c>
    </row>
    <row r="16" spans="1:17" ht="31.5" customHeight="1">
      <c r="A16" s="951">
        <v>4</v>
      </c>
      <c r="B16" s="1550" t="s">
        <v>1271</v>
      </c>
      <c r="C16" s="1121">
        <v>572592</v>
      </c>
      <c r="D16" s="1121">
        <v>8129960.4069999997</v>
      </c>
      <c r="E16" s="1121">
        <v>585839</v>
      </c>
      <c r="F16" s="1121">
        <v>8482557.4199999999</v>
      </c>
      <c r="G16" s="1121">
        <v>559513</v>
      </c>
      <c r="H16" s="1121">
        <v>8143015.7589999996</v>
      </c>
      <c r="I16" s="1121">
        <v>602177</v>
      </c>
      <c r="J16" s="1121">
        <v>8371150.0949999997</v>
      </c>
      <c r="K16" s="1121">
        <v>657183</v>
      </c>
      <c r="L16" s="1121">
        <v>9118322.9759999998</v>
      </c>
      <c r="M16" s="1121">
        <v>638546</v>
      </c>
      <c r="N16" s="1121">
        <v>8578670.6919999998</v>
      </c>
      <c r="O16" s="1121">
        <v>651427</v>
      </c>
      <c r="P16" s="1121">
        <v>8442594.743999999</v>
      </c>
      <c r="Q16" s="1551" t="s">
        <v>1272</v>
      </c>
    </row>
    <row r="17" spans="1:17" ht="31.5" customHeight="1">
      <c r="A17" s="951">
        <v>5</v>
      </c>
      <c r="B17" s="1550" t="s">
        <v>1273</v>
      </c>
      <c r="C17" s="1121">
        <v>361538</v>
      </c>
      <c r="D17" s="1121">
        <v>12780698.912</v>
      </c>
      <c r="E17" s="1121">
        <v>367085</v>
      </c>
      <c r="F17" s="1121">
        <v>15078112.752</v>
      </c>
      <c r="G17" s="1121">
        <v>341056</v>
      </c>
      <c r="H17" s="1121">
        <v>14319264.755999999</v>
      </c>
      <c r="I17" s="1121">
        <v>347837</v>
      </c>
      <c r="J17" s="1121">
        <v>16274074.828</v>
      </c>
      <c r="K17" s="1121">
        <v>365824</v>
      </c>
      <c r="L17" s="1121">
        <v>16183903.715</v>
      </c>
      <c r="M17" s="1121">
        <v>319342</v>
      </c>
      <c r="N17" s="1121">
        <v>14601064.675000001</v>
      </c>
      <c r="O17" s="1121">
        <v>262721</v>
      </c>
      <c r="P17" s="1121">
        <v>10961360.885000002</v>
      </c>
      <c r="Q17" s="1551" t="s">
        <v>1274</v>
      </c>
    </row>
    <row r="18" spans="1:17" ht="47.25">
      <c r="A18" s="951">
        <v>6</v>
      </c>
      <c r="B18" s="1550" t="s">
        <v>1275</v>
      </c>
      <c r="C18" s="1121">
        <v>129489</v>
      </c>
      <c r="D18" s="1121">
        <v>2083283.8329999999</v>
      </c>
      <c r="E18" s="1121">
        <v>118067</v>
      </c>
      <c r="F18" s="1121">
        <v>2028432.7370000002</v>
      </c>
      <c r="G18" s="1121">
        <v>119872</v>
      </c>
      <c r="H18" s="1121">
        <v>2031375.5420000001</v>
      </c>
      <c r="I18" s="1121">
        <v>127462</v>
      </c>
      <c r="J18" s="1121">
        <v>2099836.409</v>
      </c>
      <c r="K18" s="1121">
        <v>138646</v>
      </c>
      <c r="L18" s="1121">
        <v>2288311.1510000001</v>
      </c>
      <c r="M18" s="1121">
        <v>140415</v>
      </c>
      <c r="N18" s="1121">
        <v>2248171.0810000002</v>
      </c>
      <c r="O18" s="1121">
        <v>146161</v>
      </c>
      <c r="P18" s="1121">
        <v>2171454.1629999997</v>
      </c>
      <c r="Q18" s="1552" t="s">
        <v>1276</v>
      </c>
    </row>
    <row r="19" spans="1:17" ht="31.5" customHeight="1">
      <c r="A19" s="951">
        <v>7</v>
      </c>
      <c r="B19" s="1550" t="s">
        <v>1277</v>
      </c>
      <c r="C19" s="1121">
        <v>3233853</v>
      </c>
      <c r="D19" s="1121">
        <v>23027125.976999998</v>
      </c>
      <c r="E19" s="1121">
        <v>3285491</v>
      </c>
      <c r="F19" s="1121">
        <v>23474058.139000002</v>
      </c>
      <c r="G19" s="1121">
        <v>3320752</v>
      </c>
      <c r="H19" s="1121">
        <v>23844866.302999999</v>
      </c>
      <c r="I19" s="1121">
        <v>3641209</v>
      </c>
      <c r="J19" s="1121">
        <v>26777678.079000004</v>
      </c>
      <c r="K19" s="1121">
        <v>3918179</v>
      </c>
      <c r="L19" s="1121">
        <v>27808807.898999996</v>
      </c>
      <c r="M19" s="1121">
        <v>3749753</v>
      </c>
      <c r="N19" s="1121">
        <v>25934804.585999999</v>
      </c>
      <c r="O19" s="1121">
        <v>3506547</v>
      </c>
      <c r="P19" s="1121">
        <v>24379954.910000004</v>
      </c>
      <c r="Q19" s="1551" t="s">
        <v>1278</v>
      </c>
    </row>
    <row r="20" spans="1:17" ht="31.5" customHeight="1">
      <c r="A20" s="951">
        <v>8</v>
      </c>
      <c r="B20" s="1550" t="s">
        <v>1279</v>
      </c>
      <c r="C20" s="1121">
        <v>18044</v>
      </c>
      <c r="D20" s="1121">
        <v>2323915.3390000002</v>
      </c>
      <c r="E20" s="1121">
        <v>14775</v>
      </c>
      <c r="F20" s="1121">
        <v>1725852.2709999999</v>
      </c>
      <c r="G20" s="1121">
        <v>14248</v>
      </c>
      <c r="H20" s="1121">
        <v>1645246.2890000001</v>
      </c>
      <c r="I20" s="1121">
        <v>14872</v>
      </c>
      <c r="J20" s="1121">
        <v>1674398.7029999997</v>
      </c>
      <c r="K20" s="1121">
        <v>16839</v>
      </c>
      <c r="L20" s="1121">
        <v>2252899.5499999998</v>
      </c>
      <c r="M20" s="1121">
        <v>18506</v>
      </c>
      <c r="N20" s="1121">
        <v>3439748.5799999996</v>
      </c>
      <c r="O20" s="1121">
        <v>16412</v>
      </c>
      <c r="P20" s="1121">
        <v>2657252.5</v>
      </c>
      <c r="Q20" s="1551" t="s">
        <v>1280</v>
      </c>
    </row>
    <row r="21" spans="1:17" ht="31.5" customHeight="1">
      <c r="A21" s="951">
        <v>9</v>
      </c>
      <c r="B21" s="1550" t="s">
        <v>1281</v>
      </c>
      <c r="C21" s="1121">
        <v>508735</v>
      </c>
      <c r="D21" s="1121">
        <v>6602083.6330000004</v>
      </c>
      <c r="E21" s="1121">
        <v>458342</v>
      </c>
      <c r="F21" s="1121">
        <v>5953429.3049999997</v>
      </c>
      <c r="G21" s="1121">
        <v>539892</v>
      </c>
      <c r="H21" s="1121">
        <v>6296256.4399999995</v>
      </c>
      <c r="I21" s="1121">
        <v>587693</v>
      </c>
      <c r="J21" s="1121">
        <v>5683954.6279999996</v>
      </c>
      <c r="K21" s="1121">
        <v>584119</v>
      </c>
      <c r="L21" s="1121">
        <v>5942808.5520000011</v>
      </c>
      <c r="M21" s="1121">
        <v>594450</v>
      </c>
      <c r="N21" s="1121">
        <v>6018537.5750000002</v>
      </c>
      <c r="O21" s="1121">
        <v>668469</v>
      </c>
      <c r="P21" s="1121">
        <v>6838464.8270000005</v>
      </c>
      <c r="Q21" s="1551" t="s">
        <v>1282</v>
      </c>
    </row>
    <row r="22" spans="1:17" ht="31.5" customHeight="1">
      <c r="A22" s="951">
        <v>10</v>
      </c>
      <c r="B22" s="1550" t="s">
        <v>1283</v>
      </c>
      <c r="C22" s="1121">
        <v>410502</v>
      </c>
      <c r="D22" s="1121">
        <v>7554667.9289999995</v>
      </c>
      <c r="E22" s="1320">
        <v>338901</v>
      </c>
      <c r="F22" s="1121">
        <v>5803481.0949999997</v>
      </c>
      <c r="G22" s="1121">
        <v>338750</v>
      </c>
      <c r="H22" s="1121">
        <v>5929434.1609999994</v>
      </c>
      <c r="I22" s="1121">
        <v>299793</v>
      </c>
      <c r="J22" s="1121">
        <v>4965181.9690000005</v>
      </c>
      <c r="K22" s="1121">
        <v>293594</v>
      </c>
      <c r="L22" s="1121">
        <v>5004899.692999999</v>
      </c>
      <c r="M22" s="1121">
        <v>311398</v>
      </c>
      <c r="N22" s="1121">
        <v>5639690.9740000004</v>
      </c>
      <c r="O22" s="1121">
        <v>435715</v>
      </c>
      <c r="P22" s="1121">
        <v>7985240.3200000003</v>
      </c>
      <c r="Q22" s="1551" t="s">
        <v>1284</v>
      </c>
    </row>
    <row r="23" spans="1:17" ht="31.5" customHeight="1">
      <c r="A23" s="951">
        <v>11</v>
      </c>
      <c r="B23" s="1550" t="s">
        <v>1285</v>
      </c>
      <c r="C23" s="1121">
        <v>112864</v>
      </c>
      <c r="D23" s="1121">
        <v>3447589.5660000001</v>
      </c>
      <c r="E23" s="1121">
        <v>111037</v>
      </c>
      <c r="F23" s="1121">
        <v>2779790.7559999996</v>
      </c>
      <c r="G23" s="1121">
        <v>110481</v>
      </c>
      <c r="H23" s="1121">
        <v>2713851.9779999997</v>
      </c>
      <c r="I23" s="1121">
        <v>112475</v>
      </c>
      <c r="J23" s="1121">
        <v>3017753.2930000005</v>
      </c>
      <c r="K23" s="1121">
        <v>111247</v>
      </c>
      <c r="L23" s="1121">
        <v>2990528.358</v>
      </c>
      <c r="M23" s="1121">
        <v>111013</v>
      </c>
      <c r="N23" s="1121">
        <v>3051049.79</v>
      </c>
      <c r="O23" s="1121">
        <v>127849</v>
      </c>
      <c r="P23" s="1121">
        <v>3057075.7950000004</v>
      </c>
      <c r="Q23" s="1551" t="s">
        <v>1286</v>
      </c>
    </row>
    <row r="24" spans="1:17" ht="30" customHeight="1">
      <c r="A24" s="951">
        <v>12</v>
      </c>
      <c r="B24" s="1550" t="s">
        <v>1287</v>
      </c>
      <c r="C24" s="1121">
        <v>41033</v>
      </c>
      <c r="D24" s="1121">
        <v>1446938.0200000044</v>
      </c>
      <c r="E24" s="1121">
        <v>49401</v>
      </c>
      <c r="F24" s="1121">
        <v>1754781.8220000057</v>
      </c>
      <c r="G24" s="1121">
        <v>47700</v>
      </c>
      <c r="H24" s="1121">
        <v>1586553.2660000047</v>
      </c>
      <c r="I24" s="1121">
        <v>46277</v>
      </c>
      <c r="J24" s="1121">
        <v>1604595.5630000047</v>
      </c>
      <c r="K24" s="1121">
        <v>49157</v>
      </c>
      <c r="L24" s="1121">
        <v>1872949.9970000042</v>
      </c>
      <c r="M24" s="1121">
        <v>57110</v>
      </c>
      <c r="N24" s="1121">
        <v>1641212.1890000009</v>
      </c>
      <c r="O24" s="1121">
        <v>71717</v>
      </c>
      <c r="P24" s="1121">
        <v>1950238.2060000021</v>
      </c>
      <c r="Q24" s="1551" t="s">
        <v>1288</v>
      </c>
    </row>
    <row r="25" spans="1:17" ht="31.5" customHeight="1">
      <c r="A25" s="951">
        <v>13</v>
      </c>
      <c r="B25" s="1550" t="s">
        <v>1289</v>
      </c>
      <c r="C25" s="1121">
        <v>456017</v>
      </c>
      <c r="D25" s="1121">
        <v>29668145.611000001</v>
      </c>
      <c r="E25" s="1121">
        <v>497106</v>
      </c>
      <c r="F25" s="1121">
        <v>30195297.874000002</v>
      </c>
      <c r="G25" s="1121">
        <v>471327</v>
      </c>
      <c r="H25" s="1121">
        <v>28701297.747000001</v>
      </c>
      <c r="I25" s="1121">
        <v>482103</v>
      </c>
      <c r="J25" s="1121">
        <v>27869701.850000001</v>
      </c>
      <c r="K25" s="1121">
        <v>519998</v>
      </c>
      <c r="L25" s="1121">
        <v>31219628.675000001</v>
      </c>
      <c r="M25" s="1121">
        <v>490844</v>
      </c>
      <c r="N25" s="1121">
        <v>29376212.370000001</v>
      </c>
      <c r="O25" s="1121">
        <v>436746</v>
      </c>
      <c r="P25" s="1121">
        <v>31257488.333999999</v>
      </c>
      <c r="Q25" s="1551" t="s">
        <v>1290</v>
      </c>
    </row>
    <row r="26" spans="1:17" ht="31.5" customHeight="1">
      <c r="A26" s="951">
        <v>14</v>
      </c>
      <c r="B26" s="1550" t="s">
        <v>1291</v>
      </c>
      <c r="C26" s="1121">
        <v>7808</v>
      </c>
      <c r="D26" s="1121">
        <v>206045.33600000001</v>
      </c>
      <c r="E26" s="1121">
        <v>7267</v>
      </c>
      <c r="F26" s="1121">
        <v>212788.158</v>
      </c>
      <c r="G26" s="1121">
        <v>6738</v>
      </c>
      <c r="H26" s="1121">
        <v>220489.78299999997</v>
      </c>
      <c r="I26" s="1121">
        <v>6954</v>
      </c>
      <c r="J26" s="1121">
        <v>232938.26200000002</v>
      </c>
      <c r="K26" s="1121">
        <v>7525</v>
      </c>
      <c r="L26" s="1121">
        <v>232844.18799999999</v>
      </c>
      <c r="M26" s="1121">
        <v>8140</v>
      </c>
      <c r="N26" s="1121">
        <v>251642.60699999999</v>
      </c>
      <c r="O26" s="1121">
        <v>26175</v>
      </c>
      <c r="P26" s="1121">
        <v>560882.53699999989</v>
      </c>
      <c r="Q26" s="1551" t="s">
        <v>1292</v>
      </c>
    </row>
    <row r="27" spans="1:17" ht="31.5">
      <c r="A27" s="951">
        <v>15</v>
      </c>
      <c r="B27" s="1550" t="s">
        <v>1293</v>
      </c>
      <c r="C27" s="1121">
        <v>968684</v>
      </c>
      <c r="D27" s="1121">
        <v>7598357.6000000006</v>
      </c>
      <c r="E27" s="1121">
        <v>1012055</v>
      </c>
      <c r="F27" s="1121">
        <v>7928924.767</v>
      </c>
      <c r="G27" s="1121">
        <v>1023568</v>
      </c>
      <c r="H27" s="1121">
        <v>7999284.3559999987</v>
      </c>
      <c r="I27" s="1121">
        <v>1110534</v>
      </c>
      <c r="J27" s="1121">
        <v>8425627.6799999997</v>
      </c>
      <c r="K27" s="1121">
        <v>1226157</v>
      </c>
      <c r="L27" s="1121">
        <v>9062967.2799999993</v>
      </c>
      <c r="M27" s="1121">
        <v>1189168</v>
      </c>
      <c r="N27" s="1121">
        <v>8458559.9790000003</v>
      </c>
      <c r="O27" s="1121">
        <v>1187787</v>
      </c>
      <c r="P27" s="1121">
        <v>8535348.0389999989</v>
      </c>
      <c r="Q27" s="1551" t="s">
        <v>1294</v>
      </c>
    </row>
    <row r="28" spans="1:17" ht="31.5" customHeight="1">
      <c r="A28" s="951">
        <v>16</v>
      </c>
      <c r="B28" s="1550" t="s">
        <v>1295</v>
      </c>
      <c r="C28" s="1121">
        <v>6266</v>
      </c>
      <c r="D28" s="1121">
        <v>709251.27599999995</v>
      </c>
      <c r="E28" s="1121">
        <v>6042</v>
      </c>
      <c r="F28" s="1121">
        <v>725881.60700000008</v>
      </c>
      <c r="G28" s="1121">
        <v>5680</v>
      </c>
      <c r="H28" s="1121">
        <v>595978.98</v>
      </c>
      <c r="I28" s="1121">
        <v>5809</v>
      </c>
      <c r="J28" s="1121">
        <v>512254.74299999996</v>
      </c>
      <c r="K28" s="1121">
        <v>6781</v>
      </c>
      <c r="L28" s="1121">
        <v>737958.70699999994</v>
      </c>
      <c r="M28" s="1121">
        <v>5661</v>
      </c>
      <c r="N28" s="1121">
        <v>540845.41200000001</v>
      </c>
      <c r="O28" s="1121">
        <v>7146</v>
      </c>
      <c r="P28" s="1121">
        <v>456124.95799999998</v>
      </c>
      <c r="Q28" s="1552" t="s">
        <v>1296</v>
      </c>
    </row>
    <row r="29" spans="1:17" ht="31.5" customHeight="1">
      <c r="A29" s="951">
        <v>17</v>
      </c>
      <c r="B29" s="1550" t="s">
        <v>1297</v>
      </c>
      <c r="C29" s="1121">
        <v>198960</v>
      </c>
      <c r="D29" s="1121">
        <v>2296405.6540000001</v>
      </c>
      <c r="E29" s="1121">
        <v>181016</v>
      </c>
      <c r="F29" s="1121">
        <v>2165769.1610000003</v>
      </c>
      <c r="G29" s="1121">
        <v>164947</v>
      </c>
      <c r="H29" s="1121">
        <v>1801618.4010000001</v>
      </c>
      <c r="I29" s="1121">
        <v>133907</v>
      </c>
      <c r="J29" s="1121">
        <v>1686784.2570000002</v>
      </c>
      <c r="K29" s="1121">
        <v>146613</v>
      </c>
      <c r="L29" s="1121">
        <v>1868064.3760000002</v>
      </c>
      <c r="M29" s="1121">
        <v>156295</v>
      </c>
      <c r="N29" s="1121">
        <v>1804686.2479999999</v>
      </c>
      <c r="O29" s="1121">
        <v>310201</v>
      </c>
      <c r="P29" s="1121">
        <v>2946446.2260000003</v>
      </c>
      <c r="Q29" s="1551" t="s">
        <v>1298</v>
      </c>
    </row>
    <row r="30" spans="1:17" ht="46.5" customHeight="1">
      <c r="A30" s="951">
        <v>18</v>
      </c>
      <c r="B30" s="1550" t="s">
        <v>1299</v>
      </c>
      <c r="C30" s="1121">
        <v>44012</v>
      </c>
      <c r="D30" s="1121">
        <v>1287086.2850000001</v>
      </c>
      <c r="E30" s="1121">
        <v>47281</v>
      </c>
      <c r="F30" s="1121">
        <v>1354996.59</v>
      </c>
      <c r="G30" s="1121">
        <v>51279</v>
      </c>
      <c r="H30" s="1121">
        <v>1420564.7080000001</v>
      </c>
      <c r="I30" s="1121">
        <v>50987</v>
      </c>
      <c r="J30" s="1121">
        <v>1489227.6200000003</v>
      </c>
      <c r="K30" s="1121">
        <v>48267</v>
      </c>
      <c r="L30" s="1121">
        <v>1482369.3759999999</v>
      </c>
      <c r="M30" s="1121">
        <v>45412</v>
      </c>
      <c r="N30" s="1121">
        <v>1532788.4990000001</v>
      </c>
      <c r="O30" s="1121">
        <v>80733</v>
      </c>
      <c r="P30" s="1121">
        <v>2295382.0890000002</v>
      </c>
      <c r="Q30" s="1551" t="s">
        <v>1300</v>
      </c>
    </row>
    <row r="31" spans="1:17" ht="31.5" customHeight="1">
      <c r="A31" s="951">
        <v>19</v>
      </c>
      <c r="B31" s="1550" t="s">
        <v>1301</v>
      </c>
      <c r="C31" s="1121">
        <v>22165</v>
      </c>
      <c r="D31" s="1121">
        <v>357044.99700000003</v>
      </c>
      <c r="E31" s="1121">
        <v>21849</v>
      </c>
      <c r="F31" s="1121">
        <v>333267.25900000002</v>
      </c>
      <c r="G31" s="1121">
        <v>25485</v>
      </c>
      <c r="H31" s="1121">
        <v>409066.02799999999</v>
      </c>
      <c r="I31" s="1121">
        <v>43058</v>
      </c>
      <c r="J31" s="1121">
        <v>559658.47200000007</v>
      </c>
      <c r="K31" s="1121">
        <v>32163</v>
      </c>
      <c r="L31" s="1121">
        <v>495814.69699999999</v>
      </c>
      <c r="M31" s="1121">
        <v>28184</v>
      </c>
      <c r="N31" s="1121">
        <v>444083.95899999997</v>
      </c>
      <c r="O31" s="1121">
        <v>84201</v>
      </c>
      <c r="P31" s="1121">
        <v>2795053.0470000003</v>
      </c>
      <c r="Q31" s="1551" t="s">
        <v>1302</v>
      </c>
    </row>
    <row r="32" spans="1:17" ht="31.5" customHeight="1">
      <c r="A32" s="951">
        <v>20</v>
      </c>
      <c r="B32" s="1550" t="s">
        <v>1303</v>
      </c>
      <c r="C32" s="1121">
        <v>767943</v>
      </c>
      <c r="D32" s="1121">
        <v>18825163.50300058</v>
      </c>
      <c r="E32" s="1121">
        <v>689913</v>
      </c>
      <c r="F32" s="1121">
        <v>18390821.129000954</v>
      </c>
      <c r="G32" s="1121">
        <v>723890</v>
      </c>
      <c r="H32" s="1121">
        <v>19570845.19400103</v>
      </c>
      <c r="I32" s="1121">
        <v>653053</v>
      </c>
      <c r="J32" s="1121">
        <v>17809211.12000069</v>
      </c>
      <c r="K32" s="1121">
        <v>658379</v>
      </c>
      <c r="L32" s="1121">
        <v>18774267.690001134</v>
      </c>
      <c r="M32" s="1121">
        <v>634209</v>
      </c>
      <c r="N32" s="1121">
        <v>18681833.864000894</v>
      </c>
      <c r="O32" s="1121">
        <v>713138</v>
      </c>
      <c r="P32" s="1121">
        <v>20603636.649001285</v>
      </c>
      <c r="Q32" s="1551" t="s">
        <v>1304</v>
      </c>
    </row>
    <row r="33" spans="1:17" s="1555" customFormat="1" ht="31.5" customHeight="1">
      <c r="A33" s="971"/>
      <c r="B33" s="1553" t="s">
        <v>397</v>
      </c>
      <c r="C33" s="994">
        <v>11246498</v>
      </c>
      <c r="D33" s="994">
        <v>149761412.06600058</v>
      </c>
      <c r="E33" s="994">
        <v>10983962</v>
      </c>
      <c r="F33" s="994">
        <v>147022159.62000099</v>
      </c>
      <c r="G33" s="994">
        <v>11036929</v>
      </c>
      <c r="H33" s="994">
        <v>146700688.99500105</v>
      </c>
      <c r="I33" s="994">
        <v>11427965</v>
      </c>
      <c r="J33" s="994">
        <v>148636274.66200072</v>
      </c>
      <c r="K33" s="994">
        <v>12193053</v>
      </c>
      <c r="L33" s="994">
        <v>156513823.7500011</v>
      </c>
      <c r="M33" s="994">
        <v>11688522</v>
      </c>
      <c r="N33" s="994">
        <v>150137095.8470009</v>
      </c>
      <c r="O33" s="994">
        <v>12791665</v>
      </c>
      <c r="P33" s="994">
        <v>162398782.76200134</v>
      </c>
      <c r="Q33" s="1554" t="s">
        <v>386</v>
      </c>
    </row>
    <row r="34" spans="1:17" ht="27.75" customHeight="1">
      <c r="A34" s="1556" t="s">
        <v>1305</v>
      </c>
      <c r="B34" s="1557"/>
      <c r="C34" s="1558"/>
      <c r="D34" s="1558"/>
      <c r="E34" s="1558"/>
      <c r="F34" s="1558"/>
      <c r="G34" s="1558"/>
      <c r="H34" s="1558"/>
      <c r="I34" s="1558"/>
      <c r="J34" s="1558"/>
      <c r="K34" s="1558"/>
      <c r="L34" s="1558"/>
      <c r="M34" s="1558"/>
      <c r="N34" s="1558"/>
      <c r="O34" s="1558"/>
      <c r="P34" s="1558"/>
      <c r="Q34" s="1559" t="s">
        <v>1306</v>
      </c>
    </row>
    <row r="35" spans="1:17" ht="18">
      <c r="A35" s="1556" t="s">
        <v>1307</v>
      </c>
      <c r="B35" s="1557"/>
      <c r="C35" s="1558"/>
      <c r="D35" s="1558"/>
      <c r="E35" s="1558"/>
      <c r="F35" s="1558"/>
      <c r="G35" s="1558"/>
      <c r="H35" s="1558"/>
      <c r="I35" s="1558"/>
      <c r="J35" s="1558"/>
      <c r="K35" s="1558"/>
      <c r="L35" s="1558"/>
      <c r="M35" s="1558"/>
      <c r="N35" s="1558"/>
      <c r="O35" s="1558"/>
      <c r="P35" s="1558"/>
      <c r="Q35" s="1559" t="s">
        <v>1308</v>
      </c>
    </row>
    <row r="36" spans="1:17" ht="18">
      <c r="A36" s="1556"/>
      <c r="B36" s="1557"/>
      <c r="C36" s="1558"/>
      <c r="D36" s="1558"/>
      <c r="E36" s="1558"/>
      <c r="F36" s="1558"/>
      <c r="G36" s="1558"/>
      <c r="H36" s="1558"/>
      <c r="I36" s="1558"/>
      <c r="J36" s="1558"/>
      <c r="K36" s="1558"/>
      <c r="L36" s="1558"/>
      <c r="M36" s="1558"/>
      <c r="N36" s="1558"/>
      <c r="O36" s="1558"/>
      <c r="P36" s="1558"/>
      <c r="Q36" s="1559"/>
    </row>
    <row r="37" spans="1:17">
      <c r="A37" s="1560" t="s">
        <v>1315</v>
      </c>
      <c r="B37" s="1560"/>
      <c r="C37" s="1560"/>
      <c r="D37" s="1560"/>
      <c r="E37" s="1560"/>
      <c r="F37" s="1560"/>
      <c r="G37" s="1560"/>
      <c r="H37" s="1560"/>
      <c r="I37" s="1560"/>
      <c r="J37" s="1560"/>
      <c r="K37" s="1560"/>
      <c r="L37" s="1560"/>
      <c r="M37" s="1560"/>
      <c r="N37" s="1560"/>
      <c r="O37" s="1560"/>
      <c r="P37" s="1560"/>
      <c r="Q37" s="1560"/>
    </row>
    <row r="38" spans="1:17">
      <c r="E38" s="1562"/>
      <c r="F38" s="1562"/>
      <c r="G38" s="1562"/>
      <c r="H38" s="1562"/>
      <c r="I38" s="1562"/>
      <c r="J38" s="1562"/>
      <c r="K38" s="1562"/>
      <c r="L38" s="1562"/>
      <c r="M38" s="1562"/>
      <c r="N38" s="1562"/>
      <c r="O38" s="1562"/>
      <c r="P38" s="1562"/>
    </row>
    <row r="39" spans="1:17">
      <c r="C39" s="1563"/>
      <c r="D39" s="1563"/>
      <c r="E39" s="1563"/>
      <c r="F39" s="1563"/>
      <c r="G39" s="1563"/>
      <c r="H39" s="1563"/>
      <c r="I39" s="1563"/>
      <c r="J39" s="1563"/>
      <c r="K39" s="1563"/>
      <c r="L39" s="1563"/>
      <c r="M39" s="1563"/>
      <c r="N39" s="1563"/>
      <c r="O39" s="1563"/>
      <c r="P39" s="1563"/>
    </row>
    <row r="41" spans="1:17">
      <c r="C41" s="1564"/>
      <c r="D41" s="1564"/>
      <c r="E41" s="1564"/>
      <c r="F41" s="1564"/>
      <c r="G41" s="1564"/>
      <c r="H41" s="1564"/>
      <c r="I41" s="1564"/>
      <c r="J41" s="1564"/>
      <c r="K41" s="1564"/>
      <c r="L41" s="1564"/>
      <c r="M41" s="1564"/>
      <c r="N41" s="1564"/>
      <c r="O41" s="1564"/>
      <c r="P41" s="1564"/>
      <c r="Q41" s="1564"/>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S41"/>
  <sheetViews>
    <sheetView zoomScale="70" zoomScaleNormal="70" workbookViewId="0">
      <selection activeCell="O26" sqref="O26"/>
    </sheetView>
  </sheetViews>
  <sheetFormatPr defaultColWidth="18.28515625" defaultRowHeight="15"/>
  <cols>
    <col min="1" max="1" width="6.140625" style="1561" customWidth="1"/>
    <col min="2" max="2" width="45.85546875" style="1537" customWidth="1"/>
    <col min="3" max="3" width="15" style="1537" bestFit="1" customWidth="1"/>
    <col min="4" max="4" width="14.85546875" style="1537" customWidth="1"/>
    <col min="5" max="5" width="15" style="1537" bestFit="1" customWidth="1"/>
    <col min="6" max="6" width="14.85546875" style="1537" customWidth="1"/>
    <col min="7" max="7" width="15" style="1537" bestFit="1" customWidth="1"/>
    <col min="8" max="8" width="14.85546875" style="1537" customWidth="1"/>
    <col min="9" max="9" width="15" style="1537" bestFit="1" customWidth="1"/>
    <col min="10" max="10" width="14.85546875" style="1537" customWidth="1"/>
    <col min="11" max="11" width="15" style="1537" bestFit="1" customWidth="1"/>
    <col min="12" max="12" width="14.85546875" style="1537" customWidth="1"/>
    <col min="13" max="13" width="15" style="1537" bestFit="1" customWidth="1"/>
    <col min="14" max="14" width="14.85546875" style="1537" customWidth="1"/>
    <col min="15" max="15" width="15" style="1537" bestFit="1" customWidth="1"/>
    <col min="16" max="16" width="14.85546875" style="1537" customWidth="1"/>
    <col min="17" max="17" width="46.7109375" style="1537" customWidth="1"/>
    <col min="18" max="16384" width="18.28515625" style="1537"/>
  </cols>
  <sheetData>
    <row r="1" spans="1:17" ht="18" customHeight="1">
      <c r="A1" s="977" t="s">
        <v>1748</v>
      </c>
      <c r="B1" s="976"/>
      <c r="C1" s="976"/>
      <c r="D1" s="976"/>
      <c r="E1" s="976"/>
      <c r="F1" s="976"/>
      <c r="G1" s="976"/>
      <c r="H1" s="976"/>
      <c r="I1" s="976"/>
      <c r="J1" s="976"/>
      <c r="K1" s="976"/>
      <c r="L1" s="976"/>
      <c r="M1" s="976"/>
      <c r="N1" s="976"/>
      <c r="O1" s="976"/>
      <c r="P1" s="976"/>
      <c r="Q1" s="976"/>
    </row>
    <row r="2" spans="1:17" ht="18" customHeight="1">
      <c r="A2" s="977" t="s">
        <v>1316</v>
      </c>
      <c r="B2" s="1538"/>
      <c r="C2" s="1538"/>
      <c r="D2" s="1538"/>
      <c r="E2" s="1538"/>
      <c r="F2" s="1538"/>
      <c r="G2" s="1538"/>
      <c r="H2" s="1538"/>
      <c r="I2" s="1538"/>
      <c r="J2" s="1538"/>
      <c r="K2" s="1538"/>
      <c r="L2" s="1538"/>
      <c r="M2" s="1538"/>
      <c r="N2" s="1538"/>
      <c r="O2" s="1538"/>
      <c r="P2" s="1538"/>
      <c r="Q2" s="1538"/>
    </row>
    <row r="3" spans="1:17" ht="18">
      <c r="A3" s="977" t="s">
        <v>1317</v>
      </c>
      <c r="B3" s="976"/>
      <c r="C3" s="976"/>
      <c r="D3" s="976"/>
      <c r="E3" s="976"/>
      <c r="F3" s="976"/>
      <c r="G3" s="976"/>
      <c r="H3" s="976"/>
      <c r="I3" s="976"/>
      <c r="J3" s="976"/>
      <c r="K3" s="976"/>
      <c r="L3" s="976"/>
      <c r="M3" s="976"/>
      <c r="N3" s="976"/>
      <c r="O3" s="976"/>
      <c r="P3" s="976"/>
      <c r="Q3" s="976"/>
    </row>
    <row r="4" spans="1:17" ht="4.5" customHeight="1">
      <c r="A4" s="976"/>
      <c r="B4" s="976"/>
      <c r="C4" s="1539"/>
      <c r="D4" s="1539"/>
      <c r="E4" s="1539"/>
      <c r="F4" s="1539"/>
      <c r="G4" s="1539"/>
      <c r="H4" s="1539"/>
      <c r="I4" s="1539"/>
      <c r="J4" s="1539"/>
      <c r="K4" s="1539"/>
      <c r="L4" s="1539"/>
      <c r="M4" s="1539"/>
      <c r="N4" s="1539"/>
      <c r="O4" s="1539"/>
      <c r="P4" s="1539"/>
      <c r="Q4" s="976"/>
    </row>
    <row r="5" spans="1:17" ht="15.75" hidden="1" customHeight="1">
      <c r="A5" s="976"/>
      <c r="B5" s="976"/>
      <c r="C5" s="1539"/>
      <c r="D5" s="1539"/>
      <c r="E5" s="1539"/>
      <c r="F5" s="1539"/>
      <c r="G5" s="1539"/>
      <c r="H5" s="1539"/>
      <c r="I5" s="1539"/>
      <c r="J5" s="1539"/>
      <c r="K5" s="1539"/>
      <c r="L5" s="1539"/>
      <c r="M5" s="1539"/>
      <c r="N5" s="1539"/>
      <c r="O5" s="1539"/>
      <c r="P5" s="1539"/>
      <c r="Q5" s="976"/>
    </row>
    <row r="6" spans="1:17" ht="15.75" hidden="1" customHeight="1">
      <c r="A6" s="976"/>
      <c r="B6" s="976"/>
      <c r="C6" s="1539"/>
      <c r="D6" s="1539"/>
      <c r="E6" s="1539"/>
      <c r="F6" s="1539"/>
      <c r="G6" s="1539"/>
      <c r="H6" s="1539"/>
      <c r="I6" s="1539"/>
      <c r="J6" s="1539"/>
      <c r="K6" s="1539"/>
      <c r="L6" s="1539"/>
      <c r="M6" s="1539"/>
      <c r="N6" s="1539"/>
      <c r="O6" s="1539"/>
      <c r="P6" s="1539"/>
      <c r="Q6" s="976"/>
    </row>
    <row r="7" spans="1:17" ht="15.75" hidden="1" customHeight="1">
      <c r="A7" s="976"/>
      <c r="B7" s="976"/>
      <c r="C7" s="1539"/>
      <c r="D7" s="1539"/>
      <c r="E7" s="1539"/>
      <c r="F7" s="1539"/>
      <c r="G7" s="1539"/>
      <c r="H7" s="1539"/>
      <c r="I7" s="1539"/>
      <c r="J7" s="1539"/>
      <c r="K7" s="1539"/>
      <c r="L7" s="1539"/>
      <c r="M7" s="1539"/>
      <c r="N7" s="1539"/>
      <c r="O7" s="1539"/>
      <c r="P7" s="1539"/>
      <c r="Q7" s="976"/>
    </row>
    <row r="8" spans="1:17">
      <c r="A8" s="853" t="s">
        <v>1264</v>
      </c>
      <c r="D8" s="853"/>
      <c r="F8" s="853"/>
      <c r="H8" s="853"/>
      <c r="J8" s="853"/>
      <c r="L8" s="853"/>
      <c r="N8" s="853"/>
      <c r="P8" s="853"/>
      <c r="Q8" s="853" t="s">
        <v>1265</v>
      </c>
    </row>
    <row r="9" spans="1:17" s="1542" customFormat="1" ht="20.25" customHeight="1">
      <c r="A9" s="1540"/>
      <c r="B9" s="1540" t="s">
        <v>860</v>
      </c>
      <c r="C9" s="1541">
        <v>2024</v>
      </c>
      <c r="D9" s="1541"/>
      <c r="E9" s="1541"/>
      <c r="F9" s="1541"/>
      <c r="G9" s="1541"/>
      <c r="H9" s="1541"/>
      <c r="I9" s="1541"/>
      <c r="J9" s="1541"/>
      <c r="K9" s="1541"/>
      <c r="L9" s="1541"/>
      <c r="M9" s="1541"/>
      <c r="N9" s="1541"/>
      <c r="O9" s="1541"/>
      <c r="P9" s="1541"/>
      <c r="Q9" s="1540" t="s">
        <v>861</v>
      </c>
    </row>
    <row r="10" spans="1:17" s="1542" customFormat="1" ht="20.25" customHeight="1">
      <c r="A10" s="1543"/>
      <c r="B10" s="1543"/>
      <c r="C10" s="1544" t="s">
        <v>1680</v>
      </c>
      <c r="D10" s="1545"/>
      <c r="E10" s="1544" t="s">
        <v>1686</v>
      </c>
      <c r="F10" s="1545"/>
      <c r="G10" s="1544" t="s">
        <v>1694</v>
      </c>
      <c r="H10" s="1545"/>
      <c r="I10" s="1544" t="s">
        <v>1700</v>
      </c>
      <c r="J10" s="1545"/>
      <c r="K10" s="1544" t="s">
        <v>1706</v>
      </c>
      <c r="L10" s="1545"/>
      <c r="M10" s="1544" t="s">
        <v>1713</v>
      </c>
      <c r="N10" s="1545"/>
      <c r="O10" s="1544" t="s">
        <v>1721</v>
      </c>
      <c r="P10" s="1545"/>
      <c r="Q10" s="1543"/>
    </row>
    <row r="11" spans="1:17" s="1542" customFormat="1" ht="15.75">
      <c r="A11" s="1543"/>
      <c r="B11" s="1543"/>
      <c r="C11" s="944" t="s">
        <v>1248</v>
      </c>
      <c r="D11" s="944" t="s">
        <v>1217</v>
      </c>
      <c r="E11" s="944" t="s">
        <v>1248</v>
      </c>
      <c r="F11" s="944" t="s">
        <v>1217</v>
      </c>
      <c r="G11" s="944" t="s">
        <v>1248</v>
      </c>
      <c r="H11" s="944" t="s">
        <v>1217</v>
      </c>
      <c r="I11" s="944" t="s">
        <v>1248</v>
      </c>
      <c r="J11" s="944" t="s">
        <v>1217</v>
      </c>
      <c r="K11" s="944" t="s">
        <v>1248</v>
      </c>
      <c r="L11" s="944" t="s">
        <v>1217</v>
      </c>
      <c r="M11" s="944" t="s">
        <v>1248</v>
      </c>
      <c r="N11" s="944" t="s">
        <v>1217</v>
      </c>
      <c r="O11" s="944" t="s">
        <v>1248</v>
      </c>
      <c r="P11" s="944" t="s">
        <v>1217</v>
      </c>
      <c r="Q11" s="1543"/>
    </row>
    <row r="12" spans="1:17" s="1547" customFormat="1" ht="15.75">
      <c r="A12" s="1546"/>
      <c r="B12" s="1546"/>
      <c r="C12" s="974" t="s">
        <v>1266</v>
      </c>
      <c r="D12" s="974" t="s">
        <v>1219</v>
      </c>
      <c r="E12" s="974" t="s">
        <v>1266</v>
      </c>
      <c r="F12" s="974" t="s">
        <v>1219</v>
      </c>
      <c r="G12" s="974" t="s">
        <v>1266</v>
      </c>
      <c r="H12" s="974" t="s">
        <v>1219</v>
      </c>
      <c r="I12" s="974" t="s">
        <v>1266</v>
      </c>
      <c r="J12" s="974" t="s">
        <v>1219</v>
      </c>
      <c r="K12" s="974" t="s">
        <v>1266</v>
      </c>
      <c r="L12" s="974" t="s">
        <v>1219</v>
      </c>
      <c r="M12" s="974" t="s">
        <v>1266</v>
      </c>
      <c r="N12" s="974" t="s">
        <v>1219</v>
      </c>
      <c r="O12" s="974" t="s">
        <v>1266</v>
      </c>
      <c r="P12" s="974" t="s">
        <v>1219</v>
      </c>
      <c r="Q12" s="1546"/>
    </row>
    <row r="13" spans="1:17" ht="31.5" customHeight="1">
      <c r="A13" s="951">
        <v>1</v>
      </c>
      <c r="B13" s="1548" t="s">
        <v>895</v>
      </c>
      <c r="C13" s="1121">
        <v>1797</v>
      </c>
      <c r="D13" s="1121">
        <v>317343.72900000005</v>
      </c>
      <c r="E13" s="1121">
        <v>1949</v>
      </c>
      <c r="F13" s="1121">
        <v>374401.29200000002</v>
      </c>
      <c r="G13" s="1121">
        <v>2091</v>
      </c>
      <c r="H13" s="1121">
        <v>437786.20400000003</v>
      </c>
      <c r="I13" s="1121">
        <v>2873</v>
      </c>
      <c r="J13" s="1121">
        <v>597898.35800000001</v>
      </c>
      <c r="K13" s="1121">
        <v>2772</v>
      </c>
      <c r="L13" s="1121">
        <v>528207.71100000001</v>
      </c>
      <c r="M13" s="1121">
        <v>2881</v>
      </c>
      <c r="N13" s="1121">
        <v>458226.15</v>
      </c>
      <c r="O13" s="1121">
        <v>31586</v>
      </c>
      <c r="P13" s="1121">
        <v>963146.63300000003</v>
      </c>
      <c r="Q13" s="1549" t="s">
        <v>896</v>
      </c>
    </row>
    <row r="14" spans="1:17" ht="43.5" customHeight="1">
      <c r="A14" s="951">
        <v>2</v>
      </c>
      <c r="B14" s="1550" t="s">
        <v>1267</v>
      </c>
      <c r="C14" s="1121">
        <v>89383</v>
      </c>
      <c r="D14" s="1121">
        <v>4501123.2699999996</v>
      </c>
      <c r="E14" s="1121">
        <v>89987</v>
      </c>
      <c r="F14" s="1121">
        <v>4304455.5049999999</v>
      </c>
      <c r="G14" s="1121">
        <v>86703</v>
      </c>
      <c r="H14" s="1121">
        <v>4216127.2410000004</v>
      </c>
      <c r="I14" s="1121">
        <v>77434</v>
      </c>
      <c r="J14" s="1121">
        <v>3628463.6149999998</v>
      </c>
      <c r="K14" s="1121">
        <v>67751</v>
      </c>
      <c r="L14" s="1121">
        <v>3201776.7579999999</v>
      </c>
      <c r="M14" s="1121">
        <v>79971</v>
      </c>
      <c r="N14" s="1121">
        <v>4048881.4409999996</v>
      </c>
      <c r="O14" s="1121">
        <v>63617</v>
      </c>
      <c r="P14" s="1121">
        <v>3152223.5780000002</v>
      </c>
      <c r="Q14" s="1551" t="s">
        <v>1268</v>
      </c>
    </row>
    <row r="15" spans="1:17" ht="31.5" customHeight="1">
      <c r="A15" s="951">
        <v>3</v>
      </c>
      <c r="B15" s="1550" t="s">
        <v>1269</v>
      </c>
      <c r="C15" s="1121">
        <v>872591</v>
      </c>
      <c r="D15" s="1121">
        <v>10567974.259</v>
      </c>
      <c r="E15" s="1121">
        <v>840771</v>
      </c>
      <c r="F15" s="1121">
        <v>9705325.659</v>
      </c>
      <c r="G15" s="1121">
        <v>821732</v>
      </c>
      <c r="H15" s="1121">
        <v>9621330.0610000007</v>
      </c>
      <c r="I15" s="1121">
        <v>739089</v>
      </c>
      <c r="J15" s="1121">
        <v>8872153.095999999</v>
      </c>
      <c r="K15" s="1121">
        <v>692859</v>
      </c>
      <c r="L15" s="1121">
        <v>7707987.7300000004</v>
      </c>
      <c r="M15" s="1121">
        <v>859564</v>
      </c>
      <c r="N15" s="1121">
        <v>9685871.8760000002</v>
      </c>
      <c r="O15" s="1121">
        <v>800384</v>
      </c>
      <c r="P15" s="1121">
        <v>8726847.1419999991</v>
      </c>
      <c r="Q15" s="1551" t="s">
        <v>1270</v>
      </c>
    </row>
    <row r="16" spans="1:17" ht="31.5" customHeight="1">
      <c r="A16" s="951">
        <v>4</v>
      </c>
      <c r="B16" s="1550" t="s">
        <v>1271</v>
      </c>
      <c r="C16" s="1121">
        <v>46847</v>
      </c>
      <c r="D16" s="1121">
        <v>1048509.6560000001</v>
      </c>
      <c r="E16" s="1121">
        <v>45711</v>
      </c>
      <c r="F16" s="1121">
        <v>1039206.667</v>
      </c>
      <c r="G16" s="1121">
        <v>46672</v>
      </c>
      <c r="H16" s="1121">
        <v>1069838.5630000001</v>
      </c>
      <c r="I16" s="1121">
        <v>44587</v>
      </c>
      <c r="J16" s="1121">
        <v>999492.42200000002</v>
      </c>
      <c r="K16" s="1121">
        <v>43502</v>
      </c>
      <c r="L16" s="1121">
        <v>1032951.156</v>
      </c>
      <c r="M16" s="1121">
        <v>49877</v>
      </c>
      <c r="N16" s="1121">
        <v>1046127.4670000001</v>
      </c>
      <c r="O16" s="1121">
        <v>49690</v>
      </c>
      <c r="P16" s="1121">
        <v>1109785.335</v>
      </c>
      <c r="Q16" s="1551" t="s">
        <v>1272</v>
      </c>
    </row>
    <row r="17" spans="1:17" ht="31.5" customHeight="1">
      <c r="A17" s="951">
        <v>5</v>
      </c>
      <c r="B17" s="1550" t="s">
        <v>1273</v>
      </c>
      <c r="C17" s="1121">
        <v>63080</v>
      </c>
      <c r="D17" s="1121">
        <v>557888.81599999999</v>
      </c>
      <c r="E17" s="1121">
        <v>47910</v>
      </c>
      <c r="F17" s="1121">
        <v>805523.125</v>
      </c>
      <c r="G17" s="1121">
        <v>48069</v>
      </c>
      <c r="H17" s="1121">
        <v>770728.10899999994</v>
      </c>
      <c r="I17" s="1121">
        <v>47644</v>
      </c>
      <c r="J17" s="1121">
        <v>890672.375</v>
      </c>
      <c r="K17" s="1121">
        <v>47076</v>
      </c>
      <c r="L17" s="1121">
        <v>892581.68500000006</v>
      </c>
      <c r="M17" s="1121">
        <v>42348</v>
      </c>
      <c r="N17" s="1121">
        <v>667313.13800000004</v>
      </c>
      <c r="O17" s="1121">
        <v>39517</v>
      </c>
      <c r="P17" s="1121">
        <v>534788.13600000006</v>
      </c>
      <c r="Q17" s="1551" t="s">
        <v>1274</v>
      </c>
    </row>
    <row r="18" spans="1:17" ht="47.25">
      <c r="A18" s="951">
        <v>6</v>
      </c>
      <c r="B18" s="1550" t="s">
        <v>1275</v>
      </c>
      <c r="C18" s="1121">
        <v>38247</v>
      </c>
      <c r="D18" s="1121">
        <v>668388.01400000008</v>
      </c>
      <c r="E18" s="1121">
        <v>42109</v>
      </c>
      <c r="F18" s="1121">
        <v>699137.56200000015</v>
      </c>
      <c r="G18" s="1121">
        <v>42176</v>
      </c>
      <c r="H18" s="1121">
        <v>702173.41599999997</v>
      </c>
      <c r="I18" s="1121">
        <v>33399</v>
      </c>
      <c r="J18" s="1121">
        <v>582518.27099999995</v>
      </c>
      <c r="K18" s="1121">
        <v>34997</v>
      </c>
      <c r="L18" s="1121">
        <v>596745.10600000003</v>
      </c>
      <c r="M18" s="1121">
        <v>48217</v>
      </c>
      <c r="N18" s="1121">
        <v>748954.89900000009</v>
      </c>
      <c r="O18" s="1121">
        <v>41188</v>
      </c>
      <c r="P18" s="1121">
        <v>657656.36300000001</v>
      </c>
      <c r="Q18" s="1552" t="s">
        <v>1276</v>
      </c>
    </row>
    <row r="19" spans="1:17" ht="31.5" customHeight="1">
      <c r="A19" s="951">
        <v>7</v>
      </c>
      <c r="B19" s="1550" t="s">
        <v>1277</v>
      </c>
      <c r="C19" s="1121">
        <v>292205</v>
      </c>
      <c r="D19" s="1121">
        <v>2584399.8279999997</v>
      </c>
      <c r="E19" s="1121">
        <v>307112</v>
      </c>
      <c r="F19" s="1121">
        <v>2611101.3169999998</v>
      </c>
      <c r="G19" s="1121">
        <v>305917</v>
      </c>
      <c r="H19" s="1121">
        <v>2745781.1120000007</v>
      </c>
      <c r="I19" s="1121">
        <v>295270</v>
      </c>
      <c r="J19" s="1121">
        <v>2934166.605</v>
      </c>
      <c r="K19" s="1121">
        <v>305424</v>
      </c>
      <c r="L19" s="1121">
        <v>2879242.6559999995</v>
      </c>
      <c r="M19" s="1121">
        <v>366880</v>
      </c>
      <c r="N19" s="1121">
        <v>3384160.3479999998</v>
      </c>
      <c r="O19" s="1121">
        <v>325190</v>
      </c>
      <c r="P19" s="1121">
        <v>2937174.9359999998</v>
      </c>
      <c r="Q19" s="1551" t="s">
        <v>1278</v>
      </c>
    </row>
    <row r="20" spans="1:17" ht="31.5" customHeight="1">
      <c r="A20" s="951">
        <v>8</v>
      </c>
      <c r="B20" s="1550" t="s">
        <v>1279</v>
      </c>
      <c r="C20" s="1121">
        <v>7331</v>
      </c>
      <c r="D20" s="1121">
        <v>2419146.4949999996</v>
      </c>
      <c r="E20" s="1121">
        <v>5922</v>
      </c>
      <c r="F20" s="1121">
        <v>1895376.7989999999</v>
      </c>
      <c r="G20" s="1121">
        <v>6138</v>
      </c>
      <c r="H20" s="1121">
        <v>1830219.9400000002</v>
      </c>
      <c r="I20" s="1121">
        <v>5986</v>
      </c>
      <c r="J20" s="1121">
        <v>2085569.5</v>
      </c>
      <c r="K20" s="1121">
        <v>6122</v>
      </c>
      <c r="L20" s="1121">
        <v>2130226.415</v>
      </c>
      <c r="M20" s="1121">
        <v>11357</v>
      </c>
      <c r="N20" s="1121">
        <v>6003718.5610000007</v>
      </c>
      <c r="O20" s="1121">
        <v>10635</v>
      </c>
      <c r="P20" s="1121">
        <v>4754922.8680000007</v>
      </c>
      <c r="Q20" s="1551" t="s">
        <v>1280</v>
      </c>
    </row>
    <row r="21" spans="1:17" ht="31.5" customHeight="1">
      <c r="A21" s="951">
        <v>9</v>
      </c>
      <c r="B21" s="1550" t="s">
        <v>1281</v>
      </c>
      <c r="C21" s="1121">
        <v>132619</v>
      </c>
      <c r="D21" s="1121">
        <v>2689569.8939999994</v>
      </c>
      <c r="E21" s="1121">
        <v>132131</v>
      </c>
      <c r="F21" s="1121">
        <v>2582310.446</v>
      </c>
      <c r="G21" s="1121">
        <v>140322</v>
      </c>
      <c r="H21" s="1121">
        <v>2610442.5699999998</v>
      </c>
      <c r="I21" s="1121">
        <v>158703</v>
      </c>
      <c r="J21" s="1121">
        <v>2268120.6209999998</v>
      </c>
      <c r="K21" s="1121">
        <v>117171</v>
      </c>
      <c r="L21" s="1121">
        <v>2283578.3080000002</v>
      </c>
      <c r="M21" s="1121">
        <v>151122</v>
      </c>
      <c r="N21" s="1121">
        <v>2762440.7560000001</v>
      </c>
      <c r="O21" s="1121">
        <v>150212</v>
      </c>
      <c r="P21" s="1121">
        <v>2759601.71</v>
      </c>
      <c r="Q21" s="1551" t="s">
        <v>1282</v>
      </c>
    </row>
    <row r="22" spans="1:17" ht="31.5" customHeight="1">
      <c r="A22" s="951">
        <v>10</v>
      </c>
      <c r="B22" s="1550" t="s">
        <v>1283</v>
      </c>
      <c r="C22" s="1121">
        <v>148280</v>
      </c>
      <c r="D22" s="1121">
        <v>5283730.1170000006</v>
      </c>
      <c r="E22" s="1320">
        <v>130032</v>
      </c>
      <c r="F22" s="1121">
        <v>4063779.5740000005</v>
      </c>
      <c r="G22" s="1121">
        <v>134590</v>
      </c>
      <c r="H22" s="1121">
        <v>4257916.3259999994</v>
      </c>
      <c r="I22" s="1121">
        <v>98261</v>
      </c>
      <c r="J22" s="1121">
        <v>3463221.7730000005</v>
      </c>
      <c r="K22" s="1121">
        <v>94694</v>
      </c>
      <c r="L22" s="1121">
        <v>3426096.8279999997</v>
      </c>
      <c r="M22" s="1121">
        <v>131917</v>
      </c>
      <c r="N22" s="1121">
        <v>4567740.9000000004</v>
      </c>
      <c r="O22" s="1121">
        <v>135696</v>
      </c>
      <c r="P22" s="1121">
        <v>4786779.9179999996</v>
      </c>
      <c r="Q22" s="1551" t="s">
        <v>1284</v>
      </c>
    </row>
    <row r="23" spans="1:17" ht="31.5" customHeight="1">
      <c r="A23" s="951">
        <v>11</v>
      </c>
      <c r="B23" s="1550" t="s">
        <v>1285</v>
      </c>
      <c r="C23" s="1121">
        <v>17508</v>
      </c>
      <c r="D23" s="1121">
        <v>512664.49900000001</v>
      </c>
      <c r="E23" s="1121">
        <v>19335</v>
      </c>
      <c r="F23" s="1121">
        <v>473285.06599999999</v>
      </c>
      <c r="G23" s="1121">
        <v>19142</v>
      </c>
      <c r="H23" s="1121">
        <v>483199.16599999997</v>
      </c>
      <c r="I23" s="1121">
        <v>15823</v>
      </c>
      <c r="J23" s="1121">
        <v>473516.91799999995</v>
      </c>
      <c r="K23" s="1121">
        <v>15588</v>
      </c>
      <c r="L23" s="1121">
        <v>444570.652</v>
      </c>
      <c r="M23" s="1121">
        <v>19672</v>
      </c>
      <c r="N23" s="1121">
        <v>502984.701</v>
      </c>
      <c r="O23" s="1121">
        <v>21512</v>
      </c>
      <c r="P23" s="1121">
        <v>523341.89499999996</v>
      </c>
      <c r="Q23" s="1551" t="s">
        <v>1286</v>
      </c>
    </row>
    <row r="24" spans="1:17" ht="30" customHeight="1">
      <c r="A24" s="951">
        <v>12</v>
      </c>
      <c r="B24" s="1550" t="s">
        <v>1287</v>
      </c>
      <c r="C24" s="1121">
        <v>115725</v>
      </c>
      <c r="D24" s="1121">
        <v>288984.40400000004</v>
      </c>
      <c r="E24" s="1121">
        <v>160909</v>
      </c>
      <c r="F24" s="1121">
        <v>428884.28500000003</v>
      </c>
      <c r="G24" s="1121">
        <v>164048</v>
      </c>
      <c r="H24" s="1121">
        <v>407625.52400000003</v>
      </c>
      <c r="I24" s="1121">
        <v>144227</v>
      </c>
      <c r="J24" s="1121">
        <v>373404.26600000006</v>
      </c>
      <c r="K24" s="1121">
        <v>150771</v>
      </c>
      <c r="L24" s="1121">
        <v>376387.94600000005</v>
      </c>
      <c r="M24" s="1121">
        <v>191083</v>
      </c>
      <c r="N24" s="1121">
        <v>619239.49699999997</v>
      </c>
      <c r="O24" s="1121">
        <v>181716</v>
      </c>
      <c r="P24" s="1121">
        <v>622969.29500000004</v>
      </c>
      <c r="Q24" s="1551" t="s">
        <v>1288</v>
      </c>
    </row>
    <row r="25" spans="1:17" ht="31.5" customHeight="1">
      <c r="A25" s="951">
        <v>13</v>
      </c>
      <c r="B25" s="1550" t="s">
        <v>1289</v>
      </c>
      <c r="C25" s="1121">
        <v>43352</v>
      </c>
      <c r="D25" s="1121">
        <v>446050.13900000002</v>
      </c>
      <c r="E25" s="1121">
        <v>45470</v>
      </c>
      <c r="F25" s="1121">
        <v>447466.25</v>
      </c>
      <c r="G25" s="1121">
        <v>46346</v>
      </c>
      <c r="H25" s="1121">
        <v>463222.62300000002</v>
      </c>
      <c r="I25" s="1121">
        <v>40753</v>
      </c>
      <c r="J25" s="1121">
        <v>438043.91699999996</v>
      </c>
      <c r="K25" s="1121">
        <v>42080</v>
      </c>
      <c r="L25" s="1121">
        <v>466479.462</v>
      </c>
      <c r="M25" s="1121">
        <v>50657</v>
      </c>
      <c r="N25" s="1121">
        <v>547913.82999999996</v>
      </c>
      <c r="O25" s="1121">
        <v>46062</v>
      </c>
      <c r="P25" s="1121">
        <v>494316.21199999994</v>
      </c>
      <c r="Q25" s="1551" t="s">
        <v>1290</v>
      </c>
    </row>
    <row r="26" spans="1:17" ht="31.5" customHeight="1">
      <c r="A26" s="951">
        <v>14</v>
      </c>
      <c r="B26" s="1550" t="s">
        <v>1291</v>
      </c>
      <c r="C26" s="1121">
        <v>7014</v>
      </c>
      <c r="D26" s="1121">
        <v>94051.578999999998</v>
      </c>
      <c r="E26" s="1121">
        <v>7194</v>
      </c>
      <c r="F26" s="1121">
        <v>104751.421</v>
      </c>
      <c r="G26" s="1121">
        <v>7188</v>
      </c>
      <c r="H26" s="1121">
        <v>93066.925999999992</v>
      </c>
      <c r="I26" s="1121">
        <v>7727</v>
      </c>
      <c r="J26" s="1121">
        <v>98786.864000000001</v>
      </c>
      <c r="K26" s="1121">
        <v>8274</v>
      </c>
      <c r="L26" s="1121">
        <v>105095.76300000001</v>
      </c>
      <c r="M26" s="1121">
        <v>11579</v>
      </c>
      <c r="N26" s="1121">
        <v>155651.34599999999</v>
      </c>
      <c r="O26" s="1121">
        <v>16203</v>
      </c>
      <c r="P26" s="1121">
        <v>236633.337</v>
      </c>
      <c r="Q26" s="1551" t="s">
        <v>1292</v>
      </c>
    </row>
    <row r="27" spans="1:17" ht="31.5">
      <c r="A27" s="951">
        <v>15</v>
      </c>
      <c r="B27" s="1550" t="s">
        <v>1293</v>
      </c>
      <c r="C27" s="1121">
        <v>111957</v>
      </c>
      <c r="D27" s="1121">
        <v>1325463.2660000001</v>
      </c>
      <c r="E27" s="1121">
        <v>111260</v>
      </c>
      <c r="F27" s="1121">
        <v>1343475.8930000002</v>
      </c>
      <c r="G27" s="1121">
        <v>110982</v>
      </c>
      <c r="H27" s="1121">
        <v>1362335.226</v>
      </c>
      <c r="I27" s="1121">
        <v>109942</v>
      </c>
      <c r="J27" s="1121">
        <v>1381087.7579999999</v>
      </c>
      <c r="K27" s="1121">
        <v>114592</v>
      </c>
      <c r="L27" s="1121">
        <v>1443075.852</v>
      </c>
      <c r="M27" s="1121">
        <v>144159</v>
      </c>
      <c r="N27" s="1121">
        <v>1544797.1149999998</v>
      </c>
      <c r="O27" s="1121">
        <v>128720</v>
      </c>
      <c r="P27" s="1121">
        <v>1407312.7750000001</v>
      </c>
      <c r="Q27" s="1551" t="s">
        <v>1294</v>
      </c>
    </row>
    <row r="28" spans="1:17" ht="31.5" customHeight="1">
      <c r="A28" s="951">
        <v>16</v>
      </c>
      <c r="B28" s="1550" t="s">
        <v>1295</v>
      </c>
      <c r="C28" s="1121">
        <v>3109</v>
      </c>
      <c r="D28" s="1121">
        <v>414803.93900000001</v>
      </c>
      <c r="E28" s="1121">
        <v>2678</v>
      </c>
      <c r="F28" s="1121">
        <v>428762.15399999998</v>
      </c>
      <c r="G28" s="1121">
        <v>2489</v>
      </c>
      <c r="H28" s="1121">
        <v>320092.41499999998</v>
      </c>
      <c r="I28" s="1121">
        <v>2380</v>
      </c>
      <c r="J28" s="1121">
        <v>243701.28400000001</v>
      </c>
      <c r="K28" s="1121">
        <v>2336</v>
      </c>
      <c r="L28" s="1121">
        <v>293792.39500000002</v>
      </c>
      <c r="M28" s="1121">
        <v>2349</v>
      </c>
      <c r="N28" s="1121">
        <v>295198.35200000001</v>
      </c>
      <c r="O28" s="1121">
        <v>7192</v>
      </c>
      <c r="P28" s="1121">
        <v>488285.90399999998</v>
      </c>
      <c r="Q28" s="1552" t="s">
        <v>1296</v>
      </c>
    </row>
    <row r="29" spans="1:17" ht="31.5" customHeight="1">
      <c r="A29" s="951">
        <v>17</v>
      </c>
      <c r="B29" s="1550" t="s">
        <v>1297</v>
      </c>
      <c r="C29" s="1121">
        <v>67772</v>
      </c>
      <c r="D29" s="1121">
        <v>1022687.758</v>
      </c>
      <c r="E29" s="1121">
        <v>63389</v>
      </c>
      <c r="F29" s="1121">
        <v>903869.08299999998</v>
      </c>
      <c r="G29" s="1121">
        <v>57807</v>
      </c>
      <c r="H29" s="1121">
        <v>802121.772</v>
      </c>
      <c r="I29" s="1121">
        <v>39194</v>
      </c>
      <c r="J29" s="1121">
        <v>603794.64700000011</v>
      </c>
      <c r="K29" s="1121">
        <v>38162</v>
      </c>
      <c r="L29" s="1121">
        <v>582371.01300000004</v>
      </c>
      <c r="M29" s="1121">
        <v>59038</v>
      </c>
      <c r="N29" s="1121">
        <v>808002.15399999986</v>
      </c>
      <c r="O29" s="1121">
        <v>88937</v>
      </c>
      <c r="P29" s="1121">
        <v>1066618.746</v>
      </c>
      <c r="Q29" s="1551" t="s">
        <v>1298</v>
      </c>
    </row>
    <row r="30" spans="1:17" ht="46.5" customHeight="1">
      <c r="A30" s="951">
        <v>18</v>
      </c>
      <c r="B30" s="1550" t="s">
        <v>1299</v>
      </c>
      <c r="C30" s="1121">
        <v>11090</v>
      </c>
      <c r="D30" s="1121">
        <v>366013.17300000007</v>
      </c>
      <c r="E30" s="1121">
        <v>11836</v>
      </c>
      <c r="F30" s="1121">
        <v>342213.81199999998</v>
      </c>
      <c r="G30" s="1121">
        <v>12369</v>
      </c>
      <c r="H30" s="1121">
        <v>370081.95799999998</v>
      </c>
      <c r="I30" s="1121">
        <v>10976</v>
      </c>
      <c r="J30" s="1121">
        <v>446630.81899999996</v>
      </c>
      <c r="K30" s="1121">
        <v>10691</v>
      </c>
      <c r="L30" s="1121">
        <v>392142.21799999999</v>
      </c>
      <c r="M30" s="1121">
        <v>13249</v>
      </c>
      <c r="N30" s="1121">
        <v>434408.52299999999</v>
      </c>
      <c r="O30" s="1121">
        <v>13918</v>
      </c>
      <c r="P30" s="1121">
        <v>464493.45799999998</v>
      </c>
      <c r="Q30" s="1551" t="s">
        <v>1300</v>
      </c>
    </row>
    <row r="31" spans="1:17" ht="31.5" customHeight="1">
      <c r="A31" s="951">
        <v>19</v>
      </c>
      <c r="B31" s="1550" t="s">
        <v>1301</v>
      </c>
      <c r="C31" s="1121">
        <v>4233</v>
      </c>
      <c r="D31" s="1121">
        <v>98509.179000000004</v>
      </c>
      <c r="E31" s="1121">
        <v>4232</v>
      </c>
      <c r="F31" s="1121">
        <v>82520.44</v>
      </c>
      <c r="G31" s="1121">
        <v>4708</v>
      </c>
      <c r="H31" s="1121">
        <v>87742.812000000005</v>
      </c>
      <c r="I31" s="1121">
        <v>4085</v>
      </c>
      <c r="J31" s="1121">
        <v>78676.032999999996</v>
      </c>
      <c r="K31" s="1121">
        <v>4509</v>
      </c>
      <c r="L31" s="1121">
        <v>89302.96</v>
      </c>
      <c r="M31" s="1121">
        <v>5899</v>
      </c>
      <c r="N31" s="1121">
        <v>112556.20700000001</v>
      </c>
      <c r="O31" s="1121">
        <v>16853</v>
      </c>
      <c r="P31" s="1121">
        <v>205119.85700000002</v>
      </c>
      <c r="Q31" s="1551" t="s">
        <v>1302</v>
      </c>
    </row>
    <row r="32" spans="1:17" ht="31.5" customHeight="1">
      <c r="A32" s="951">
        <v>20</v>
      </c>
      <c r="B32" s="1550" t="s">
        <v>1303</v>
      </c>
      <c r="C32" s="1121">
        <v>407167</v>
      </c>
      <c r="D32" s="1121">
        <v>8150173.7629999928</v>
      </c>
      <c r="E32" s="1121">
        <v>391980</v>
      </c>
      <c r="F32" s="1121">
        <v>6808418.0209999941</v>
      </c>
      <c r="G32" s="1121">
        <v>398030</v>
      </c>
      <c r="H32" s="1121">
        <v>6892287.7090000007</v>
      </c>
      <c r="I32" s="1121">
        <v>343587</v>
      </c>
      <c r="J32" s="1121">
        <v>5688943.3829999994</v>
      </c>
      <c r="K32" s="1121">
        <v>313761</v>
      </c>
      <c r="L32" s="1121">
        <v>5298003.9339999994</v>
      </c>
      <c r="M32" s="1121">
        <v>316810</v>
      </c>
      <c r="N32" s="1121">
        <v>7409078.5529999975</v>
      </c>
      <c r="O32" s="1121">
        <v>275428</v>
      </c>
      <c r="P32" s="1121">
        <v>6932542.9819999998</v>
      </c>
      <c r="Q32" s="1551" t="s">
        <v>1304</v>
      </c>
    </row>
    <row r="33" spans="1:19" s="1555" customFormat="1" ht="31.5" customHeight="1">
      <c r="A33" s="971"/>
      <c r="B33" s="1553" t="s">
        <v>397</v>
      </c>
      <c r="C33" s="994">
        <v>2481307</v>
      </c>
      <c r="D33" s="994">
        <v>43357475.77699998</v>
      </c>
      <c r="E33" s="994">
        <v>2461917</v>
      </c>
      <c r="F33" s="994">
        <v>39444264.270999983</v>
      </c>
      <c r="G33" s="994">
        <v>2457519</v>
      </c>
      <c r="H33" s="994">
        <v>39544119.673</v>
      </c>
      <c r="I33" s="994">
        <v>2221940</v>
      </c>
      <c r="J33" s="994">
        <v>36148862.524999999</v>
      </c>
      <c r="K33" s="994">
        <v>2113132</v>
      </c>
      <c r="L33" s="994">
        <v>34170616.647999994</v>
      </c>
      <c r="M33" s="994">
        <v>2558629</v>
      </c>
      <c r="N33" s="994">
        <v>45803265.314000003</v>
      </c>
      <c r="O33" s="994">
        <v>2444256</v>
      </c>
      <c r="P33" s="994">
        <v>42824561.080000006</v>
      </c>
      <c r="Q33" s="1554" t="s">
        <v>386</v>
      </c>
      <c r="R33" s="1537"/>
      <c r="S33" s="1537"/>
    </row>
    <row r="34" spans="1:19" ht="27.75" customHeight="1">
      <c r="A34" s="1556" t="s">
        <v>1305</v>
      </c>
      <c r="B34" s="1557"/>
      <c r="C34" s="1558"/>
      <c r="D34" s="1558"/>
      <c r="E34" s="1558"/>
      <c r="F34" s="1558"/>
      <c r="G34" s="1558"/>
      <c r="H34" s="1558"/>
      <c r="I34" s="1558"/>
      <c r="J34" s="1558"/>
      <c r="K34" s="1558"/>
      <c r="L34" s="1558"/>
      <c r="M34" s="1558"/>
      <c r="N34" s="1558"/>
      <c r="O34" s="1558"/>
      <c r="P34" s="1558"/>
      <c r="Q34" s="1559" t="s">
        <v>1306</v>
      </c>
    </row>
    <row r="35" spans="1:19" ht="18">
      <c r="A35" s="1556" t="s">
        <v>1307</v>
      </c>
      <c r="B35" s="1557"/>
      <c r="C35" s="1558"/>
      <c r="D35" s="1558"/>
      <c r="E35" s="1558"/>
      <c r="F35" s="1558"/>
      <c r="G35" s="1558"/>
      <c r="H35" s="1558"/>
      <c r="I35" s="1558"/>
      <c r="J35" s="1558"/>
      <c r="K35" s="1558"/>
      <c r="L35" s="1558"/>
      <c r="M35" s="1558"/>
      <c r="N35" s="1558"/>
      <c r="O35" s="1558"/>
      <c r="P35" s="1558"/>
      <c r="Q35" s="1559" t="s">
        <v>1308</v>
      </c>
    </row>
    <row r="36" spans="1:19">
      <c r="A36" s="1535"/>
      <c r="B36" s="1535"/>
      <c r="C36" s="1535"/>
      <c r="D36" s="1535"/>
      <c r="E36" s="1535"/>
      <c r="F36" s="1535"/>
      <c r="G36" s="1535"/>
      <c r="H36" s="1535"/>
      <c r="I36" s="1535"/>
      <c r="J36" s="1535"/>
      <c r="K36" s="1535"/>
      <c r="L36" s="1535"/>
      <c r="M36" s="1535"/>
      <c r="N36" s="1535"/>
      <c r="O36" s="1535"/>
      <c r="P36" s="1535"/>
    </row>
    <row r="37" spans="1:19">
      <c r="A37" s="1560" t="s">
        <v>1318</v>
      </c>
      <c r="B37" s="1560"/>
      <c r="C37" s="1560"/>
      <c r="D37" s="1560"/>
      <c r="E37" s="1560"/>
      <c r="F37" s="1560"/>
      <c r="G37" s="1560"/>
      <c r="H37" s="1560"/>
      <c r="I37" s="1560"/>
      <c r="J37" s="1560"/>
      <c r="K37" s="1560"/>
      <c r="L37" s="1560"/>
      <c r="M37" s="1560"/>
      <c r="N37" s="1560"/>
      <c r="O37" s="1560"/>
      <c r="P37" s="1560"/>
      <c r="Q37" s="1560"/>
    </row>
    <row r="38" spans="1:19">
      <c r="E38" s="1562"/>
      <c r="F38" s="1562"/>
      <c r="G38" s="1562"/>
      <c r="H38" s="1562"/>
      <c r="I38" s="1562"/>
      <c r="J38" s="1562"/>
      <c r="K38" s="1562"/>
      <c r="L38" s="1562"/>
      <c r="M38" s="1562"/>
      <c r="N38" s="1562"/>
      <c r="O38" s="1562"/>
      <c r="P38" s="1562"/>
    </row>
    <row r="39" spans="1:19">
      <c r="C39" s="1563"/>
      <c r="D39" s="1563"/>
      <c r="E39" s="1563"/>
      <c r="F39" s="1563"/>
      <c r="G39" s="1563"/>
      <c r="H39" s="1563"/>
      <c r="I39" s="1563"/>
      <c r="J39" s="1563"/>
      <c r="K39" s="1563"/>
      <c r="L39" s="1563"/>
      <c r="M39" s="1563"/>
      <c r="N39" s="1563"/>
      <c r="O39" s="1563"/>
      <c r="P39" s="1563"/>
    </row>
    <row r="41" spans="1:19">
      <c r="C41" s="1564"/>
      <c r="D41" s="1564"/>
      <c r="E41" s="1564"/>
      <c r="F41" s="1564"/>
      <c r="G41" s="1564"/>
      <c r="H41" s="1564"/>
      <c r="I41" s="1564"/>
      <c r="J41" s="1564"/>
      <c r="K41" s="1564"/>
      <c r="L41" s="1564"/>
      <c r="M41" s="1564"/>
      <c r="N41" s="1564"/>
      <c r="O41" s="1564"/>
      <c r="P41" s="1564"/>
      <c r="Q41" s="1564"/>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7"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0" activePane="bottomLeft" state="frozen"/>
      <selection activeCell="B12" sqref="B12"/>
      <selection pane="bottomLeft" activeCell="A11" sqref="A11:B12"/>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1.5703125" style="869" customWidth="1"/>
    <col min="14" max="14" width="12.7109375" style="869" customWidth="1"/>
    <col min="15" max="16384" width="18.28515625" style="869"/>
  </cols>
  <sheetData>
    <row r="1" spans="1:14" ht="18" customHeight="1">
      <c r="A1" s="831" t="s">
        <v>1319</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1320</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1321</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1291" t="s">
        <v>1247</v>
      </c>
      <c r="B11" s="1293"/>
      <c r="C11" s="944" t="s">
        <v>1322</v>
      </c>
      <c r="D11" s="944" t="s">
        <v>1323</v>
      </c>
      <c r="E11" s="944" t="s">
        <v>1324</v>
      </c>
      <c r="F11" s="944" t="s">
        <v>1325</v>
      </c>
      <c r="G11" s="944" t="s">
        <v>1326</v>
      </c>
      <c r="H11" s="944" t="s">
        <v>1327</v>
      </c>
      <c r="I11" s="944" t="s">
        <v>1328</v>
      </c>
      <c r="J11" s="944" t="s">
        <v>1329</v>
      </c>
      <c r="K11" s="944" t="s">
        <v>1330</v>
      </c>
      <c r="L11" s="944" t="s">
        <v>1331</v>
      </c>
      <c r="M11" s="944" t="s">
        <v>396</v>
      </c>
      <c r="N11" s="944" t="s">
        <v>386</v>
      </c>
    </row>
    <row r="12" spans="1:14" s="973" customFormat="1" ht="31.5">
      <c r="A12" s="1294"/>
      <c r="B12" s="1296"/>
      <c r="C12" s="945" t="s">
        <v>1332</v>
      </c>
      <c r="D12" s="945" t="s">
        <v>1333</v>
      </c>
      <c r="E12" s="945" t="s">
        <v>1334</v>
      </c>
      <c r="F12" s="945" t="s">
        <v>1335</v>
      </c>
      <c r="G12" s="945" t="s">
        <v>1336</v>
      </c>
      <c r="H12" s="945" t="s">
        <v>1337</v>
      </c>
      <c r="I12" s="945" t="s">
        <v>1338</v>
      </c>
      <c r="J12" s="945" t="s">
        <v>1339</v>
      </c>
      <c r="K12" s="945" t="s">
        <v>1340</v>
      </c>
      <c r="L12" s="945" t="s">
        <v>1341</v>
      </c>
      <c r="M12" s="945" t="s">
        <v>404</v>
      </c>
      <c r="N12" s="974" t="s">
        <v>1342</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f t="shared" ref="C21:N21" si="0">SUM(C23:C26)</f>
        <v>26730137</v>
      </c>
      <c r="D21" s="827">
        <f t="shared" si="0"/>
        <v>2008784</v>
      </c>
      <c r="E21" s="827">
        <f t="shared" si="0"/>
        <v>1185536</v>
      </c>
      <c r="F21" s="946">
        <f t="shared" si="0"/>
        <v>902297</v>
      </c>
      <c r="G21" s="827">
        <f t="shared" si="0"/>
        <v>190537</v>
      </c>
      <c r="H21" s="827">
        <f t="shared" si="0"/>
        <v>2715919</v>
      </c>
      <c r="I21" s="827">
        <f t="shared" si="0"/>
        <v>782528</v>
      </c>
      <c r="J21" s="946">
        <f t="shared" si="0"/>
        <v>74198</v>
      </c>
      <c r="K21" s="827">
        <f t="shared" si="0"/>
        <v>79314</v>
      </c>
      <c r="L21" s="827">
        <f t="shared" si="0"/>
        <v>237330</v>
      </c>
      <c r="M21" s="827">
        <f t="shared" si="0"/>
        <v>1360372</v>
      </c>
      <c r="N21" s="827">
        <f t="shared" si="0"/>
        <v>36266952</v>
      </c>
    </row>
    <row r="22" spans="1:15" ht="16.5" customHeight="1">
      <c r="A22" s="971">
        <v>2024</v>
      </c>
      <c r="B22" s="972"/>
      <c r="C22" s="947">
        <f t="shared" ref="C22:N22" si="1">SUM(C27:C30)</f>
        <v>27978388</v>
      </c>
      <c r="D22" s="947">
        <f t="shared" si="1"/>
        <v>2154953</v>
      </c>
      <c r="E22" s="1319">
        <f t="shared" si="1"/>
        <v>1321649</v>
      </c>
      <c r="F22" s="948">
        <f t="shared" si="1"/>
        <v>1155802</v>
      </c>
      <c r="G22" s="947">
        <f t="shared" si="1"/>
        <v>256506</v>
      </c>
      <c r="H22" s="947">
        <f t="shared" si="1"/>
        <v>5108342</v>
      </c>
      <c r="I22" s="947">
        <f t="shared" si="1"/>
        <v>773041</v>
      </c>
      <c r="J22" s="948">
        <f t="shared" si="1"/>
        <v>64308</v>
      </c>
      <c r="K22" s="947">
        <f t="shared" si="1"/>
        <v>68171</v>
      </c>
      <c r="L22" s="947">
        <f t="shared" si="1"/>
        <v>219830</v>
      </c>
      <c r="M22" s="947">
        <f t="shared" si="1"/>
        <v>1379462</v>
      </c>
      <c r="N22" s="947">
        <f t="shared" si="1"/>
        <v>40480452</v>
      </c>
    </row>
    <row r="23" spans="1:15" ht="21" customHeight="1">
      <c r="A23" s="951">
        <v>2023</v>
      </c>
      <c r="B23" s="870" t="s">
        <v>243</v>
      </c>
      <c r="C23" s="827">
        <v>5803250</v>
      </c>
      <c r="D23" s="827">
        <v>464773</v>
      </c>
      <c r="E23" s="827">
        <v>260006</v>
      </c>
      <c r="F23" s="946">
        <v>174977</v>
      </c>
      <c r="G23" s="827">
        <v>49540</v>
      </c>
      <c r="H23" s="827">
        <v>713106</v>
      </c>
      <c r="I23" s="827">
        <v>198703</v>
      </c>
      <c r="J23" s="946">
        <v>20723</v>
      </c>
      <c r="K23" s="827">
        <v>24355</v>
      </c>
      <c r="L23" s="827">
        <v>63697</v>
      </c>
      <c r="M23" s="827">
        <v>368766</v>
      </c>
      <c r="N23" s="827">
        <v>8141896</v>
      </c>
    </row>
    <row r="24" spans="1:15">
      <c r="A24" s="951"/>
      <c r="B24" s="870" t="s">
        <v>244</v>
      </c>
      <c r="C24" s="827">
        <v>6894697</v>
      </c>
      <c r="D24" s="827">
        <v>433683</v>
      </c>
      <c r="E24" s="827">
        <v>223384</v>
      </c>
      <c r="F24" s="946">
        <v>215907</v>
      </c>
      <c r="G24" s="827">
        <v>34402</v>
      </c>
      <c r="H24" s="827">
        <v>652837</v>
      </c>
      <c r="I24" s="827">
        <v>166949</v>
      </c>
      <c r="J24" s="946">
        <v>14656</v>
      </c>
      <c r="K24" s="827">
        <v>14815</v>
      </c>
      <c r="L24" s="827">
        <v>55880</v>
      </c>
      <c r="M24" s="827">
        <v>253327</v>
      </c>
      <c r="N24" s="827">
        <v>8960537</v>
      </c>
    </row>
    <row r="25" spans="1:15">
      <c r="A25" s="951"/>
      <c r="B25" s="1129" t="s">
        <v>245</v>
      </c>
      <c r="C25" s="1201">
        <v>7115953</v>
      </c>
      <c r="D25" s="827">
        <v>639055</v>
      </c>
      <c r="E25" s="1134">
        <v>245442</v>
      </c>
      <c r="F25" s="946">
        <v>282958</v>
      </c>
      <c r="G25" s="827">
        <v>41823</v>
      </c>
      <c r="H25" s="827">
        <v>721091</v>
      </c>
      <c r="I25" s="827">
        <v>174262</v>
      </c>
      <c r="J25" s="946">
        <v>14828</v>
      </c>
      <c r="K25" s="827">
        <v>13596</v>
      </c>
      <c r="L25" s="827">
        <v>52444</v>
      </c>
      <c r="M25" s="827">
        <v>281648</v>
      </c>
      <c r="N25" s="827">
        <v>9583100</v>
      </c>
    </row>
    <row r="26" spans="1:15">
      <c r="A26" s="951"/>
      <c r="B26" s="870" t="s">
        <v>242</v>
      </c>
      <c r="C26" s="827">
        <v>6916237</v>
      </c>
      <c r="D26" s="827">
        <v>471273</v>
      </c>
      <c r="E26" s="827">
        <v>456704</v>
      </c>
      <c r="F26" s="946">
        <v>228455</v>
      </c>
      <c r="G26" s="827">
        <v>64772</v>
      </c>
      <c r="H26" s="827">
        <v>628885</v>
      </c>
      <c r="I26" s="827">
        <v>242614</v>
      </c>
      <c r="J26" s="946">
        <v>23991</v>
      </c>
      <c r="K26" s="827">
        <v>26548</v>
      </c>
      <c r="L26" s="827">
        <v>65309</v>
      </c>
      <c r="M26" s="827">
        <v>456631</v>
      </c>
      <c r="N26" s="827">
        <v>9581419</v>
      </c>
    </row>
    <row r="27" spans="1:15" ht="21" customHeight="1">
      <c r="A27" s="951">
        <v>2024</v>
      </c>
      <c r="B27" s="870" t="s">
        <v>243</v>
      </c>
      <c r="C27" s="827">
        <f t="shared" ref="C27:N27" si="2">SUM(C32:C34)</f>
        <v>6574536</v>
      </c>
      <c r="D27" s="827">
        <f t="shared" si="2"/>
        <v>598582</v>
      </c>
      <c r="E27" s="827">
        <f t="shared" si="2"/>
        <v>406108</v>
      </c>
      <c r="F27" s="946">
        <f t="shared" si="2"/>
        <v>236006</v>
      </c>
      <c r="G27" s="827">
        <f t="shared" si="2"/>
        <v>81065</v>
      </c>
      <c r="H27" s="827">
        <f t="shared" si="2"/>
        <v>849999</v>
      </c>
      <c r="I27" s="827">
        <f t="shared" si="2"/>
        <v>260677</v>
      </c>
      <c r="J27" s="946">
        <f t="shared" si="2"/>
        <v>21136</v>
      </c>
      <c r="K27" s="827">
        <f t="shared" si="2"/>
        <v>24093</v>
      </c>
      <c r="L27" s="827">
        <f t="shared" si="2"/>
        <v>58477</v>
      </c>
      <c r="M27" s="827">
        <f t="shared" si="2"/>
        <v>424619</v>
      </c>
      <c r="N27" s="827">
        <f t="shared" si="2"/>
        <v>9535298</v>
      </c>
      <c r="O27" s="1216"/>
    </row>
    <row r="28" spans="1:15" ht="15" customHeight="1">
      <c r="A28" s="951"/>
      <c r="B28" s="870" t="s">
        <v>244</v>
      </c>
      <c r="C28" s="827">
        <f t="shared" ref="C28:N28" si="3">SUM(C35:C37)</f>
        <v>7030156</v>
      </c>
      <c r="D28" s="827">
        <f t="shared" si="3"/>
        <v>494563</v>
      </c>
      <c r="E28" s="827">
        <f t="shared" si="3"/>
        <v>269101</v>
      </c>
      <c r="F28" s="946">
        <f t="shared" si="3"/>
        <v>296285</v>
      </c>
      <c r="G28" s="827">
        <f t="shared" si="3"/>
        <v>45560</v>
      </c>
      <c r="H28" s="827">
        <f t="shared" si="3"/>
        <v>1228852</v>
      </c>
      <c r="I28" s="827">
        <f t="shared" si="3"/>
        <v>164043</v>
      </c>
      <c r="J28" s="946">
        <f t="shared" si="3"/>
        <v>13669</v>
      </c>
      <c r="K28" s="827">
        <f t="shared" si="3"/>
        <v>12222</v>
      </c>
      <c r="L28" s="827">
        <f t="shared" si="3"/>
        <v>48892</v>
      </c>
      <c r="M28" s="827">
        <f t="shared" si="3"/>
        <v>265903</v>
      </c>
      <c r="N28" s="827">
        <f t="shared" si="3"/>
        <v>9869246</v>
      </c>
      <c r="O28" s="1216"/>
    </row>
    <row r="29" spans="1:15" ht="15" customHeight="1">
      <c r="A29" s="951"/>
      <c r="B29" s="870" t="s">
        <v>245</v>
      </c>
      <c r="C29" s="827">
        <f t="shared" ref="C29:N29" si="4">SUM(C38:C40)</f>
        <v>7287363</v>
      </c>
      <c r="D29" s="827">
        <f t="shared" si="4"/>
        <v>599038</v>
      </c>
      <c r="E29" s="827">
        <f t="shared" si="4"/>
        <v>242188</v>
      </c>
      <c r="F29" s="946">
        <f t="shared" si="4"/>
        <v>317510</v>
      </c>
      <c r="G29" s="827">
        <f t="shared" si="4"/>
        <v>48775</v>
      </c>
      <c r="H29" s="827">
        <f t="shared" si="4"/>
        <v>1456973</v>
      </c>
      <c r="I29" s="827">
        <f t="shared" si="4"/>
        <v>142670</v>
      </c>
      <c r="J29" s="946">
        <f t="shared" si="4"/>
        <v>10996</v>
      </c>
      <c r="K29" s="827">
        <f t="shared" si="4"/>
        <v>9823</v>
      </c>
      <c r="L29" s="827">
        <f t="shared" si="4"/>
        <v>48226</v>
      </c>
      <c r="M29" s="827">
        <f t="shared" si="4"/>
        <v>266959</v>
      </c>
      <c r="N29" s="827">
        <f t="shared" si="4"/>
        <v>10430521</v>
      </c>
      <c r="O29" s="1216"/>
    </row>
    <row r="30" spans="1:15" ht="15" customHeight="1">
      <c r="A30" s="971"/>
      <c r="B30" s="972" t="s">
        <v>242</v>
      </c>
      <c r="C30" s="947">
        <f t="shared" ref="C30:N30" si="5">SUM(C41:C43)</f>
        <v>7086333</v>
      </c>
      <c r="D30" s="947">
        <f t="shared" si="5"/>
        <v>462770</v>
      </c>
      <c r="E30" s="947">
        <f t="shared" si="5"/>
        <v>404252</v>
      </c>
      <c r="F30" s="948">
        <f t="shared" si="5"/>
        <v>306001</v>
      </c>
      <c r="G30" s="947">
        <f t="shared" si="5"/>
        <v>81106</v>
      </c>
      <c r="H30" s="947">
        <f t="shared" si="5"/>
        <v>1572518</v>
      </c>
      <c r="I30" s="947">
        <f t="shared" si="5"/>
        <v>205651</v>
      </c>
      <c r="J30" s="948">
        <f t="shared" si="5"/>
        <v>18507</v>
      </c>
      <c r="K30" s="947">
        <f t="shared" si="5"/>
        <v>22033</v>
      </c>
      <c r="L30" s="947">
        <f t="shared" si="5"/>
        <v>64235</v>
      </c>
      <c r="M30" s="947">
        <f t="shared" si="5"/>
        <v>421981</v>
      </c>
      <c r="N30" s="947">
        <f t="shared" si="5"/>
        <v>10645387</v>
      </c>
      <c r="O30" s="1216"/>
    </row>
    <row r="31" spans="1:15" ht="21" customHeight="1">
      <c r="A31" s="951">
        <v>2023</v>
      </c>
      <c r="B31" s="868" t="s">
        <v>426</v>
      </c>
      <c r="C31" s="827">
        <v>2383314</v>
      </c>
      <c r="D31" s="827">
        <v>179222</v>
      </c>
      <c r="E31" s="827">
        <v>194228</v>
      </c>
      <c r="F31" s="827">
        <v>93516</v>
      </c>
      <c r="G31" s="827">
        <v>26164</v>
      </c>
      <c r="H31" s="827">
        <v>221420</v>
      </c>
      <c r="I31" s="827">
        <v>85009</v>
      </c>
      <c r="J31" s="827">
        <v>7076</v>
      </c>
      <c r="K31" s="827">
        <v>8917</v>
      </c>
      <c r="L31" s="827">
        <v>22826</v>
      </c>
      <c r="M31" s="827">
        <v>173849</v>
      </c>
      <c r="N31" s="827">
        <v>3395541</v>
      </c>
    </row>
    <row r="32" spans="1:15" ht="21" customHeight="1">
      <c r="A32" s="951">
        <v>2024</v>
      </c>
      <c r="B32" s="868" t="s">
        <v>427</v>
      </c>
      <c r="C32" s="827">
        <v>2551910</v>
      </c>
      <c r="D32" s="827">
        <v>241274</v>
      </c>
      <c r="E32" s="827">
        <v>163954</v>
      </c>
      <c r="F32" s="827">
        <v>80932</v>
      </c>
      <c r="G32" s="827">
        <v>39927</v>
      </c>
      <c r="H32" s="827">
        <v>267978</v>
      </c>
      <c r="I32" s="827">
        <v>86421</v>
      </c>
      <c r="J32" s="827">
        <v>6688</v>
      </c>
      <c r="K32" s="827">
        <v>7392</v>
      </c>
      <c r="L32" s="827">
        <v>20505</v>
      </c>
      <c r="M32" s="827">
        <f t="shared" ref="M32" si="6">N32-(SUM(C32:L32))</f>
        <v>156533</v>
      </c>
      <c r="N32" s="827">
        <v>3623514</v>
      </c>
    </row>
    <row r="33" spans="1:14">
      <c r="A33" s="951"/>
      <c r="B33" s="868" t="s">
        <v>416</v>
      </c>
      <c r="C33" s="827">
        <v>2290968</v>
      </c>
      <c r="D33" s="827">
        <v>265912</v>
      </c>
      <c r="E33" s="827">
        <v>157535</v>
      </c>
      <c r="F33" s="827">
        <v>81724</v>
      </c>
      <c r="G33" s="827">
        <v>28825</v>
      </c>
      <c r="H33" s="827">
        <v>297326</v>
      </c>
      <c r="I33" s="827">
        <v>102019</v>
      </c>
      <c r="J33" s="827">
        <v>8575</v>
      </c>
      <c r="K33" s="827">
        <v>8895</v>
      </c>
      <c r="L33" s="827">
        <v>21376</v>
      </c>
      <c r="M33" s="827">
        <f t="shared" ref="M33" si="7">N33-(SUM(C33:L33))</f>
        <v>159536</v>
      </c>
      <c r="N33" s="827">
        <v>3422691</v>
      </c>
    </row>
    <row r="34" spans="1:14">
      <c r="A34" s="951"/>
      <c r="B34" s="868" t="s">
        <v>417</v>
      </c>
      <c r="C34" s="827">
        <v>1731658</v>
      </c>
      <c r="D34" s="827">
        <v>91396</v>
      </c>
      <c r="E34" s="827">
        <v>84619</v>
      </c>
      <c r="F34" s="827">
        <v>73350</v>
      </c>
      <c r="G34" s="827">
        <v>12313</v>
      </c>
      <c r="H34" s="827">
        <v>284695</v>
      </c>
      <c r="I34" s="827">
        <v>72237</v>
      </c>
      <c r="J34" s="827">
        <v>5873</v>
      </c>
      <c r="K34" s="827">
        <v>7806</v>
      </c>
      <c r="L34" s="827">
        <v>16596</v>
      </c>
      <c r="M34" s="827">
        <f t="shared" ref="M34" si="8">N34-(SUM(C34:L34))</f>
        <v>108550</v>
      </c>
      <c r="N34" s="827">
        <v>2489093</v>
      </c>
    </row>
    <row r="35" spans="1:14">
      <c r="A35" s="951"/>
      <c r="B35" s="868" t="s">
        <v>418</v>
      </c>
      <c r="C35" s="827">
        <v>1991213</v>
      </c>
      <c r="D35" s="827">
        <v>129412</v>
      </c>
      <c r="E35" s="827">
        <v>91770</v>
      </c>
      <c r="F35" s="827">
        <v>100407</v>
      </c>
      <c r="G35" s="827">
        <v>13343</v>
      </c>
      <c r="H35" s="827">
        <v>335250</v>
      </c>
      <c r="I35" s="827">
        <v>55505</v>
      </c>
      <c r="J35" s="827">
        <v>4969</v>
      </c>
      <c r="K35" s="827">
        <v>4763</v>
      </c>
      <c r="L35" s="827">
        <v>14308</v>
      </c>
      <c r="M35" s="827">
        <f t="shared" ref="M35" si="9">N35-(SUM(C35:L35))</f>
        <v>86557</v>
      </c>
      <c r="N35" s="827">
        <v>2827497</v>
      </c>
    </row>
    <row r="36" spans="1:14">
      <c r="A36" s="951"/>
      <c r="B36" s="868" t="s">
        <v>419</v>
      </c>
      <c r="C36" s="827">
        <v>2457085</v>
      </c>
      <c r="D36" s="827">
        <v>146411</v>
      </c>
      <c r="E36" s="827">
        <v>88570</v>
      </c>
      <c r="F36" s="827">
        <v>74811</v>
      </c>
      <c r="G36" s="827">
        <v>15908</v>
      </c>
      <c r="H36" s="827">
        <v>413697</v>
      </c>
      <c r="I36" s="827">
        <v>55110</v>
      </c>
      <c r="J36" s="827">
        <v>4956</v>
      </c>
      <c r="K36" s="827">
        <v>4507</v>
      </c>
      <c r="L36" s="827">
        <v>18166</v>
      </c>
      <c r="M36" s="827">
        <f t="shared" ref="M36" si="10">N36-(SUM(C36:L36))</f>
        <v>94839</v>
      </c>
      <c r="N36" s="827">
        <v>3374060</v>
      </c>
    </row>
    <row r="37" spans="1:14">
      <c r="A37" s="951"/>
      <c r="B37" s="868" t="s">
        <v>420</v>
      </c>
      <c r="C37" s="827">
        <v>2581858</v>
      </c>
      <c r="D37" s="827">
        <v>218740</v>
      </c>
      <c r="E37" s="827">
        <v>88761</v>
      </c>
      <c r="F37" s="827">
        <v>121067</v>
      </c>
      <c r="G37" s="827">
        <v>16309</v>
      </c>
      <c r="H37" s="827">
        <v>479905</v>
      </c>
      <c r="I37" s="827">
        <v>53428</v>
      </c>
      <c r="J37" s="827">
        <v>3744</v>
      </c>
      <c r="K37" s="827">
        <v>2952</v>
      </c>
      <c r="L37" s="827">
        <v>16418</v>
      </c>
      <c r="M37" s="827">
        <f t="shared" ref="M37" si="11">N37-(SUM(C37:L37))</f>
        <v>84507</v>
      </c>
      <c r="N37" s="827">
        <v>3667689</v>
      </c>
    </row>
    <row r="38" spans="1:14">
      <c r="A38" s="951"/>
      <c r="B38" s="868" t="s">
        <v>421</v>
      </c>
      <c r="C38" s="827">
        <v>2528615</v>
      </c>
      <c r="D38" s="827">
        <v>180625</v>
      </c>
      <c r="E38" s="827">
        <v>80518</v>
      </c>
      <c r="F38" s="827">
        <v>120809</v>
      </c>
      <c r="G38" s="827">
        <v>15323</v>
      </c>
      <c r="H38" s="827">
        <v>479160</v>
      </c>
      <c r="I38" s="827">
        <v>42606</v>
      </c>
      <c r="J38" s="827">
        <v>3744</v>
      </c>
      <c r="K38" s="827">
        <v>2830</v>
      </c>
      <c r="L38" s="827">
        <v>15018</v>
      </c>
      <c r="M38" s="827">
        <f t="shared" ref="M38" si="12">N38-(SUM(C38:L38))</f>
        <v>83938</v>
      </c>
      <c r="N38" s="827">
        <v>3553186</v>
      </c>
    </row>
    <row r="39" spans="1:14">
      <c r="A39" s="951"/>
      <c r="B39" s="868" t="s">
        <v>422</v>
      </c>
      <c r="C39" s="827">
        <v>2478555</v>
      </c>
      <c r="D39" s="827">
        <v>227960</v>
      </c>
      <c r="E39" s="827">
        <v>80759</v>
      </c>
      <c r="F39" s="827">
        <v>123278</v>
      </c>
      <c r="G39" s="827">
        <v>16391</v>
      </c>
      <c r="H39" s="827">
        <v>484153</v>
      </c>
      <c r="I39" s="827">
        <v>47330</v>
      </c>
      <c r="J39" s="827">
        <v>3471</v>
      </c>
      <c r="K39" s="827">
        <v>3134</v>
      </c>
      <c r="L39" s="827">
        <v>15358</v>
      </c>
      <c r="M39" s="827">
        <f t="shared" ref="M39" si="13">N39-(SUM(C39:L39))</f>
        <v>84638</v>
      </c>
      <c r="N39" s="827">
        <v>3565027</v>
      </c>
    </row>
    <row r="40" spans="1:14">
      <c r="A40" s="951"/>
      <c r="B40" s="868" t="s">
        <v>423</v>
      </c>
      <c r="C40" s="827">
        <v>2280193</v>
      </c>
      <c r="D40" s="827">
        <v>190453</v>
      </c>
      <c r="E40" s="827">
        <v>80911</v>
      </c>
      <c r="F40" s="827">
        <v>73423</v>
      </c>
      <c r="G40" s="827">
        <v>17061</v>
      </c>
      <c r="H40" s="827">
        <v>493660</v>
      </c>
      <c r="I40" s="827">
        <v>52734</v>
      </c>
      <c r="J40" s="827">
        <v>3781</v>
      </c>
      <c r="K40" s="827">
        <v>3859</v>
      </c>
      <c r="L40" s="827">
        <v>17850</v>
      </c>
      <c r="M40" s="827">
        <f t="shared" ref="M40" si="14">N40-(SUM(C40:L40))</f>
        <v>98383</v>
      </c>
      <c r="N40" s="827">
        <v>3312308</v>
      </c>
    </row>
    <row r="41" spans="1:14">
      <c r="A41" s="951"/>
      <c r="B41" s="868" t="s">
        <v>424</v>
      </c>
      <c r="C41" s="827">
        <v>2131988</v>
      </c>
      <c r="D41" s="827">
        <v>126931</v>
      </c>
      <c r="E41" s="827">
        <v>90517</v>
      </c>
      <c r="F41" s="827">
        <v>87968</v>
      </c>
      <c r="G41" s="827">
        <v>18142</v>
      </c>
      <c r="H41" s="827">
        <v>479697</v>
      </c>
      <c r="I41" s="827">
        <v>65612</v>
      </c>
      <c r="J41" s="827">
        <v>5998</v>
      </c>
      <c r="K41" s="827">
        <v>6831</v>
      </c>
      <c r="L41" s="827">
        <v>21709</v>
      </c>
      <c r="M41" s="827">
        <f t="shared" ref="M41" si="15">N41-(SUM(C41:L41))</f>
        <v>131202</v>
      </c>
      <c r="N41" s="827">
        <v>3166595</v>
      </c>
    </row>
    <row r="42" spans="1:14">
      <c r="A42" s="951"/>
      <c r="B42" s="868" t="s">
        <v>425</v>
      </c>
      <c r="C42" s="827">
        <v>2605860</v>
      </c>
      <c r="D42" s="827">
        <v>153885</v>
      </c>
      <c r="E42" s="827">
        <v>111318</v>
      </c>
      <c r="F42" s="827">
        <v>92926</v>
      </c>
      <c r="G42" s="827">
        <v>27421</v>
      </c>
      <c r="H42" s="827">
        <v>551038</v>
      </c>
      <c r="I42" s="827">
        <v>68209</v>
      </c>
      <c r="J42" s="827">
        <v>7171</v>
      </c>
      <c r="K42" s="827">
        <v>7869</v>
      </c>
      <c r="L42" s="827">
        <v>20321</v>
      </c>
      <c r="M42" s="827">
        <f t="shared" ref="M42" si="16">N42-(SUM(C42:L42))</f>
        <v>144108</v>
      </c>
      <c r="N42" s="827">
        <v>3790126</v>
      </c>
    </row>
    <row r="43" spans="1:14">
      <c r="A43" s="951"/>
      <c r="B43" s="868" t="s">
        <v>426</v>
      </c>
      <c r="C43" s="827">
        <v>2348485</v>
      </c>
      <c r="D43" s="827">
        <v>181954</v>
      </c>
      <c r="E43" s="827">
        <v>202417</v>
      </c>
      <c r="F43" s="827">
        <v>125107</v>
      </c>
      <c r="G43" s="827">
        <v>35543</v>
      </c>
      <c r="H43" s="827">
        <v>541783</v>
      </c>
      <c r="I43" s="827">
        <v>71830</v>
      </c>
      <c r="J43" s="827">
        <v>5338</v>
      </c>
      <c r="K43" s="827">
        <v>7333</v>
      </c>
      <c r="L43" s="827">
        <v>22205</v>
      </c>
      <c r="M43" s="827">
        <f t="shared" ref="M43" si="17">N43-(SUM(C43:L43))</f>
        <v>146671</v>
      </c>
      <c r="N43" s="827">
        <v>3688666</v>
      </c>
    </row>
    <row r="44" spans="1:14">
      <c r="A44" s="1534"/>
      <c r="B44" s="990"/>
      <c r="C44" s="991"/>
      <c r="D44" s="991"/>
      <c r="E44" s="991"/>
      <c r="F44" s="991"/>
      <c r="G44" s="991"/>
      <c r="H44" s="991"/>
      <c r="I44" s="991"/>
      <c r="J44" s="991"/>
      <c r="K44" s="991"/>
      <c r="L44" s="991"/>
      <c r="M44" s="991"/>
      <c r="N44" s="992"/>
    </row>
    <row r="45" spans="1:14">
      <c r="A45" s="1535"/>
      <c r="B45" s="970"/>
      <c r="C45" s="969"/>
      <c r="D45" s="969"/>
      <c r="E45" s="969"/>
      <c r="F45" s="969"/>
      <c r="G45" s="969"/>
      <c r="H45" s="969"/>
      <c r="I45" s="969"/>
      <c r="J45" s="969"/>
      <c r="K45" s="969"/>
      <c r="L45" s="969"/>
      <c r="M45" s="969"/>
      <c r="N45" s="969"/>
    </row>
    <row r="46" spans="1:14">
      <c r="A46" s="1536" t="s">
        <v>1343</v>
      </c>
      <c r="B46" s="1536"/>
      <c r="C46" s="1536"/>
      <c r="D46" s="1536"/>
      <c r="E46" s="1536"/>
      <c r="F46" s="1536"/>
      <c r="G46" s="1536"/>
      <c r="H46" s="1536"/>
      <c r="I46" s="1536"/>
      <c r="J46" s="1536"/>
      <c r="K46" s="1536"/>
      <c r="L46" s="1536"/>
      <c r="M46" s="1536"/>
      <c r="N46" s="1536"/>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0" zoomScale="90" zoomScaleNormal="90" workbookViewId="0">
      <selection activeCell="I37" sqref="I37"/>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6384" width="18.28515625" style="869"/>
  </cols>
  <sheetData>
    <row r="1" spans="1:14" ht="18" customHeight="1">
      <c r="A1" s="831" t="s">
        <v>1344</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1320</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1321</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1345</v>
      </c>
      <c r="N10" s="869" t="s">
        <v>1346</v>
      </c>
    </row>
    <row r="11" spans="1:14" s="973" customFormat="1" ht="31.5">
      <c r="A11" s="1291" t="s">
        <v>1247</v>
      </c>
      <c r="B11" s="1293"/>
      <c r="C11" s="944" t="s">
        <v>1322</v>
      </c>
      <c r="D11" s="944" t="s">
        <v>1323</v>
      </c>
      <c r="E11" s="944" t="s">
        <v>1324</v>
      </c>
      <c r="F11" s="944" t="s">
        <v>1325</v>
      </c>
      <c r="G11" s="944" t="s">
        <v>1326</v>
      </c>
      <c r="H11" s="944" t="s">
        <v>1327</v>
      </c>
      <c r="I11" s="944" t="s">
        <v>1328</v>
      </c>
      <c r="J11" s="944" t="s">
        <v>1329</v>
      </c>
      <c r="K11" s="944" t="s">
        <v>1330</v>
      </c>
      <c r="L11" s="944" t="s">
        <v>1331</v>
      </c>
      <c r="M11" s="944" t="s">
        <v>396</v>
      </c>
      <c r="N11" s="944" t="s">
        <v>386</v>
      </c>
    </row>
    <row r="12" spans="1:14" s="973" customFormat="1" ht="31.5">
      <c r="A12" s="1294"/>
      <c r="B12" s="1296"/>
      <c r="C12" s="945" t="s">
        <v>1332</v>
      </c>
      <c r="D12" s="945" t="s">
        <v>1333</v>
      </c>
      <c r="E12" s="945" t="s">
        <v>1334</v>
      </c>
      <c r="F12" s="945" t="s">
        <v>1335</v>
      </c>
      <c r="G12" s="945" t="s">
        <v>1336</v>
      </c>
      <c r="H12" s="945" t="s">
        <v>1337</v>
      </c>
      <c r="I12" s="945" t="s">
        <v>1338</v>
      </c>
      <c r="J12" s="945" t="s">
        <v>1339</v>
      </c>
      <c r="K12" s="945" t="s">
        <v>1340</v>
      </c>
      <c r="L12" s="945" t="s">
        <v>1341</v>
      </c>
      <c r="M12" s="945" t="s">
        <v>404</v>
      </c>
      <c r="N12" s="974" t="s">
        <v>1342</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f t="shared" ref="C21:N21" si="0">SUM(C23:C26)</f>
        <v>517144124.99138343</v>
      </c>
      <c r="D21" s="827">
        <f t="shared" si="0"/>
        <v>71643492.374954179</v>
      </c>
      <c r="E21" s="827">
        <f t="shared" si="0"/>
        <v>66951962.142273098</v>
      </c>
      <c r="F21" s="946">
        <f t="shared" si="0"/>
        <v>30301636.444773261</v>
      </c>
      <c r="G21" s="827">
        <f t="shared" si="0"/>
        <v>5798983.9034489999</v>
      </c>
      <c r="H21" s="827">
        <f t="shared" si="0"/>
        <v>80524349.004949853</v>
      </c>
      <c r="I21" s="827">
        <f t="shared" si="0"/>
        <v>26218895.759767033</v>
      </c>
      <c r="J21" s="946">
        <f t="shared" si="0"/>
        <v>2228876.5375529998</v>
      </c>
      <c r="K21" s="827">
        <f t="shared" si="0"/>
        <v>2160155.4161075698</v>
      </c>
      <c r="L21" s="827">
        <f t="shared" si="0"/>
        <v>5106809.1438325001</v>
      </c>
      <c r="M21" s="827">
        <f t="shared" si="0"/>
        <v>67593708.269656539</v>
      </c>
      <c r="N21" s="827">
        <f t="shared" si="0"/>
        <v>875672993.98869944</v>
      </c>
    </row>
    <row r="22" spans="1:14" ht="16.5" customHeight="1">
      <c r="A22" s="971">
        <v>2024</v>
      </c>
      <c r="B22" s="972"/>
      <c r="C22" s="947">
        <f t="shared" ref="C22:N22" si="1">SUM(C27:C30)</f>
        <v>540057616.98995006</v>
      </c>
      <c r="D22" s="947">
        <f>SUM(D27:D30)</f>
        <v>71209831.885000005</v>
      </c>
      <c r="E22" s="1319">
        <f t="shared" si="1"/>
        <v>66031441.265000001</v>
      </c>
      <c r="F22" s="948">
        <f>SUM(F27:F30)</f>
        <v>38932536.3336</v>
      </c>
      <c r="G22" s="947">
        <f t="shared" si="1"/>
        <v>6309293.8759000003</v>
      </c>
      <c r="H22" s="947">
        <f t="shared" si="1"/>
        <v>121350142.80010003</v>
      </c>
      <c r="I22" s="947">
        <f t="shared" si="1"/>
        <v>25597574.116999999</v>
      </c>
      <c r="J22" s="948">
        <f>SUM(J27:J30)</f>
        <v>1743393.4890000001</v>
      </c>
      <c r="K22" s="947">
        <f>SUM(K27:K30)-0.5</f>
        <v>1753604.3980000003</v>
      </c>
      <c r="L22" s="947">
        <f t="shared" si="1"/>
        <v>5312596.7525999993</v>
      </c>
      <c r="M22" s="947">
        <f t="shared" si="1"/>
        <v>56138953.016849995</v>
      </c>
      <c r="N22" s="947">
        <f t="shared" si="1"/>
        <v>934436987.023</v>
      </c>
    </row>
    <row r="23" spans="1:14" ht="21" customHeight="1">
      <c r="A23" s="951">
        <v>2023</v>
      </c>
      <c r="B23" s="870" t="s">
        <v>243</v>
      </c>
      <c r="C23" s="827">
        <v>109129254.92318203</v>
      </c>
      <c r="D23" s="827">
        <v>16048134.123999998</v>
      </c>
      <c r="E23" s="827">
        <v>11182152.344000001</v>
      </c>
      <c r="F23" s="946">
        <v>6410308.5710000005</v>
      </c>
      <c r="G23" s="827">
        <v>1313791.8939999999</v>
      </c>
      <c r="H23" s="827">
        <v>21753464.7383788</v>
      </c>
      <c r="I23" s="827">
        <v>5884158.6935480516</v>
      </c>
      <c r="J23" s="946">
        <v>558369.87699999998</v>
      </c>
      <c r="K23" s="827">
        <v>649133.61400000006</v>
      </c>
      <c r="L23" s="827">
        <v>1314609.111</v>
      </c>
      <c r="M23" s="827">
        <v>15231596.47987999</v>
      </c>
      <c r="N23" s="827">
        <v>189474974.36998886</v>
      </c>
    </row>
    <row r="24" spans="1:14">
      <c r="A24" s="951"/>
      <c r="B24" s="870" t="s">
        <v>244</v>
      </c>
      <c r="C24" s="827">
        <v>133226339.49053478</v>
      </c>
      <c r="D24" s="827">
        <v>13737506.209954171</v>
      </c>
      <c r="E24" s="827">
        <v>9104723.1552731004</v>
      </c>
      <c r="F24" s="946">
        <v>7081184.2939999998</v>
      </c>
      <c r="G24" s="827">
        <v>1048628.21</v>
      </c>
      <c r="H24" s="827">
        <v>19246846.21916908</v>
      </c>
      <c r="I24" s="827">
        <v>5400384.9789354103</v>
      </c>
      <c r="J24" s="946">
        <v>357719.63355299999</v>
      </c>
      <c r="K24" s="827">
        <v>414107.75242500007</v>
      </c>
      <c r="L24" s="827">
        <v>1097457.2074845</v>
      </c>
      <c r="M24" s="827">
        <v>18061531.841554873</v>
      </c>
      <c r="N24" s="827">
        <v>208776428.99288389</v>
      </c>
    </row>
    <row r="25" spans="1:14">
      <c r="A25" s="951"/>
      <c r="B25" s="1129" t="s">
        <v>245</v>
      </c>
      <c r="C25" s="1201">
        <v>134391468.82134056</v>
      </c>
      <c r="D25" s="827">
        <v>20311938.885000002</v>
      </c>
      <c r="E25" s="1134">
        <v>11929960.558</v>
      </c>
      <c r="F25" s="946">
        <v>8713167.9587732609</v>
      </c>
      <c r="G25" s="827">
        <v>1174071.9350000001</v>
      </c>
      <c r="H25" s="827">
        <v>20654136.050575666</v>
      </c>
      <c r="I25" s="827">
        <v>5674626.8642563196</v>
      </c>
      <c r="J25" s="946">
        <v>355448.147</v>
      </c>
      <c r="K25" s="827">
        <v>344271.51568256994</v>
      </c>
      <c r="L25" s="827">
        <v>1092493.59516</v>
      </c>
      <c r="M25" s="827">
        <v>14109884.144809544</v>
      </c>
      <c r="N25" s="827">
        <v>218751468.47559792</v>
      </c>
    </row>
    <row r="26" spans="1:14">
      <c r="A26" s="951"/>
      <c r="B26" s="870" t="s">
        <v>242</v>
      </c>
      <c r="C26" s="827">
        <v>140397061.75632605</v>
      </c>
      <c r="D26" s="827">
        <v>21545913.155999999</v>
      </c>
      <c r="E26" s="827">
        <v>34735126.085000001</v>
      </c>
      <c r="F26" s="946">
        <v>8096975.6210000003</v>
      </c>
      <c r="G26" s="827">
        <v>2262491.864449</v>
      </c>
      <c r="H26" s="827">
        <v>18869901.996826302</v>
      </c>
      <c r="I26" s="827">
        <v>9259725.2230272498</v>
      </c>
      <c r="J26" s="946">
        <v>957338.87999999989</v>
      </c>
      <c r="K26" s="827">
        <v>752642.53399999999</v>
      </c>
      <c r="L26" s="827">
        <v>1602249.230188</v>
      </c>
      <c r="M26" s="827">
        <v>20190695.803412139</v>
      </c>
      <c r="N26" s="827">
        <v>258670122.15022874</v>
      </c>
    </row>
    <row r="27" spans="1:14" ht="21" customHeight="1">
      <c r="A27" s="951">
        <v>2024</v>
      </c>
      <c r="B27" s="870" t="s">
        <v>243</v>
      </c>
      <c r="C27" s="827">
        <f t="shared" ref="C27:N27" si="2">SUM(C32:C34)</f>
        <v>125733295.59017999</v>
      </c>
      <c r="D27" s="827">
        <f t="shared" si="2"/>
        <v>24441738.318999998</v>
      </c>
      <c r="E27" s="827">
        <f t="shared" si="2"/>
        <v>31686829.555</v>
      </c>
      <c r="F27" s="946">
        <f t="shared" si="2"/>
        <v>9472459.4539999999</v>
      </c>
      <c r="G27" s="827">
        <f t="shared" si="2"/>
        <v>2185223.2039999999</v>
      </c>
      <c r="H27" s="827">
        <f t="shared" si="2"/>
        <v>23800011.334000006</v>
      </c>
      <c r="I27" s="827">
        <f t="shared" si="2"/>
        <v>8581135.0789999999</v>
      </c>
      <c r="J27" s="946">
        <f t="shared" si="2"/>
        <v>575881.09900000005</v>
      </c>
      <c r="K27" s="827">
        <f t="shared" si="2"/>
        <v>629668.09600000014</v>
      </c>
      <c r="L27" s="827">
        <f t="shared" si="2"/>
        <v>1574240.602</v>
      </c>
      <c r="M27" s="827">
        <f t="shared" si="2"/>
        <v>19121950.598820016</v>
      </c>
      <c r="N27" s="827">
        <f t="shared" si="2"/>
        <v>247802432.93099999</v>
      </c>
    </row>
    <row r="28" spans="1:14" ht="15" customHeight="1">
      <c r="A28" s="951"/>
      <c r="B28" s="870" t="s">
        <v>244</v>
      </c>
      <c r="C28" s="827">
        <f t="shared" ref="C28:N28" si="3">SUM(C35:C37)</f>
        <v>136994421.05269</v>
      </c>
      <c r="D28" s="827">
        <f>SUM(D35:D37)+0.2</f>
        <v>14910388.523</v>
      </c>
      <c r="E28" s="827">
        <f t="shared" si="3"/>
        <v>10549713.467</v>
      </c>
      <c r="F28" s="946">
        <f t="shared" si="3"/>
        <v>9090892.1105999984</v>
      </c>
      <c r="G28" s="827">
        <f t="shared" si="3"/>
        <v>1224972.7119999998</v>
      </c>
      <c r="H28" s="827">
        <f t="shared" si="3"/>
        <v>30017282.537099998</v>
      </c>
      <c r="I28" s="827">
        <f t="shared" si="3"/>
        <v>5586898.6150000002</v>
      </c>
      <c r="J28" s="946">
        <f t="shared" si="3"/>
        <v>352215.05800000002</v>
      </c>
      <c r="K28" s="827">
        <f t="shared" si="3"/>
        <v>354540.35699999996</v>
      </c>
      <c r="L28" s="827">
        <f t="shared" si="3"/>
        <v>1208522.2445999999</v>
      </c>
      <c r="M28" s="827">
        <f t="shared" si="3"/>
        <v>11744010.39901001</v>
      </c>
      <c r="N28" s="827">
        <f t="shared" si="3"/>
        <v>222033856.87599999</v>
      </c>
    </row>
    <row r="29" spans="1:14" ht="15" customHeight="1">
      <c r="A29" s="951"/>
      <c r="B29" s="870" t="s">
        <v>245</v>
      </c>
      <c r="C29" s="827">
        <f t="shared" ref="C29:N29" si="4">SUM(C38:C40)</f>
        <v>131171844.16600001</v>
      </c>
      <c r="D29" s="827">
        <f t="shared" si="4"/>
        <v>16764763.471000001</v>
      </c>
      <c r="E29" s="827">
        <f t="shared" si="4"/>
        <v>9383377.3790000007</v>
      </c>
      <c r="F29" s="946">
        <f>SUM(F38:F40)+0.2</f>
        <v>9286005.5769999996</v>
      </c>
      <c r="G29" s="827">
        <f t="shared" si="4"/>
        <v>1094505.3930000002</v>
      </c>
      <c r="H29" s="827">
        <f t="shared" si="4"/>
        <v>32796735.362999998</v>
      </c>
      <c r="I29" s="827">
        <f t="shared" si="4"/>
        <v>4483360.1519999998</v>
      </c>
      <c r="J29" s="946">
        <f>SUM(J38:J40)-0.1</f>
        <v>290233.99400000006</v>
      </c>
      <c r="K29" s="827">
        <f t="shared" si="4"/>
        <v>262199.49100000004</v>
      </c>
      <c r="L29" s="827">
        <f t="shared" si="4"/>
        <v>996368.35100000002</v>
      </c>
      <c r="M29" s="827">
        <f t="shared" si="4"/>
        <v>10621017.674999982</v>
      </c>
      <c r="N29" s="827">
        <f t="shared" si="4"/>
        <v>217150410.912</v>
      </c>
    </row>
    <row r="30" spans="1:14" ht="15" customHeight="1">
      <c r="A30" s="971"/>
      <c r="B30" s="972" t="s">
        <v>242</v>
      </c>
      <c r="C30" s="947">
        <f t="shared" ref="C30:N30" si="5">SUM(C41:C43)</f>
        <v>146158056.18108001</v>
      </c>
      <c r="D30" s="947">
        <f t="shared" si="5"/>
        <v>15092941.571999999</v>
      </c>
      <c r="E30" s="947">
        <f t="shared" si="5"/>
        <v>14411520.864</v>
      </c>
      <c r="F30" s="948">
        <f>SUM(F41:F43)-1</f>
        <v>11083179.192</v>
      </c>
      <c r="G30" s="947">
        <f>SUM(G41:G43)+0.5</f>
        <v>1804592.5669</v>
      </c>
      <c r="H30" s="947">
        <f>SUM(H41:H43)+0.1</f>
        <v>34736113.566000007</v>
      </c>
      <c r="I30" s="947">
        <f>SUM(I41:I43)-0.5</f>
        <v>6946180.2709999997</v>
      </c>
      <c r="J30" s="948">
        <f>SUM(J41:J43)-0.5</f>
        <v>525063.33799999999</v>
      </c>
      <c r="K30" s="947">
        <f t="shared" si="5"/>
        <v>507196.95400000009</v>
      </c>
      <c r="L30" s="947">
        <f t="shared" si="5"/>
        <v>1533465.5549999999</v>
      </c>
      <c r="M30" s="947">
        <f>SUM(M41:M43)-0.5</f>
        <v>14651974.344019987</v>
      </c>
      <c r="N30" s="947">
        <f t="shared" si="5"/>
        <v>247450286.30400002</v>
      </c>
    </row>
    <row r="31" spans="1:14" ht="21" customHeight="1">
      <c r="A31" s="951">
        <v>2023</v>
      </c>
      <c r="B31" s="868" t="s">
        <v>426</v>
      </c>
      <c r="C31" s="827">
        <v>44768644.259609997</v>
      </c>
      <c r="D31" s="827">
        <v>8250358.4570000004</v>
      </c>
      <c r="E31" s="827">
        <v>14202860.032</v>
      </c>
      <c r="F31" s="827">
        <v>2811859.0279999999</v>
      </c>
      <c r="G31" s="827">
        <v>861436.91540000006</v>
      </c>
      <c r="H31" s="827">
        <v>6635100.1739999987</v>
      </c>
      <c r="I31" s="827">
        <v>3222002.2120000008</v>
      </c>
      <c r="J31" s="827">
        <v>284862.51299999992</v>
      </c>
      <c r="K31" s="827">
        <v>277162.397</v>
      </c>
      <c r="L31" s="827">
        <v>588009.68499999994</v>
      </c>
      <c r="M31" s="827">
        <v>7285347.7599900216</v>
      </c>
      <c r="N31" s="827">
        <v>89187643.433000013</v>
      </c>
    </row>
    <row r="32" spans="1:14" ht="21" customHeight="1">
      <c r="A32" s="951">
        <v>2024</v>
      </c>
      <c r="B32" s="868" t="s">
        <v>427</v>
      </c>
      <c r="C32" s="827">
        <v>47006992.987069994</v>
      </c>
      <c r="D32" s="827">
        <v>10098538.048</v>
      </c>
      <c r="E32" s="827">
        <v>14225628.281000001</v>
      </c>
      <c r="F32" s="827">
        <v>2957487.9360000002</v>
      </c>
      <c r="G32" s="827">
        <v>968747.04099999997</v>
      </c>
      <c r="H32" s="827">
        <v>7391995.6200000001</v>
      </c>
      <c r="I32" s="827">
        <v>2985846.8220000002</v>
      </c>
      <c r="J32" s="827">
        <v>174716.94500000001</v>
      </c>
      <c r="K32" s="827">
        <v>188878.84700000001</v>
      </c>
      <c r="L32" s="827">
        <v>545700.91200000001</v>
      </c>
      <c r="M32" s="827">
        <f t="shared" ref="M32" si="6">N32-(SUM(C32:L32))</f>
        <v>7116009.292930007</v>
      </c>
      <c r="N32" s="827">
        <v>93660542.731999993</v>
      </c>
    </row>
    <row r="33" spans="1:14">
      <c r="A33" s="951"/>
      <c r="B33" s="868" t="s">
        <v>416</v>
      </c>
      <c r="C33" s="827">
        <v>44147356.814999998</v>
      </c>
      <c r="D33" s="827">
        <v>10764144.003</v>
      </c>
      <c r="E33" s="827">
        <v>12862630.688999999</v>
      </c>
      <c r="F33" s="827">
        <v>3463649.341</v>
      </c>
      <c r="G33" s="827">
        <v>827731.69699999993</v>
      </c>
      <c r="H33" s="827">
        <v>8311388.4110000022</v>
      </c>
      <c r="I33" s="827">
        <v>3348022.3689999995</v>
      </c>
      <c r="J33" s="827">
        <v>234830.50800000003</v>
      </c>
      <c r="K33" s="827">
        <v>252530.08600000004</v>
      </c>
      <c r="L33" s="827">
        <v>617149.0199999999</v>
      </c>
      <c r="M33" s="827">
        <f t="shared" ref="M33" si="7">N33-(SUM(C33:L33))</f>
        <v>7262583.5920000225</v>
      </c>
      <c r="N33" s="827">
        <v>92092016.531000018</v>
      </c>
    </row>
    <row r="34" spans="1:14">
      <c r="A34" s="951"/>
      <c r="B34" s="868" t="s">
        <v>417</v>
      </c>
      <c r="C34" s="827">
        <v>34578945.788110003</v>
      </c>
      <c r="D34" s="827">
        <v>3579056.2680000002</v>
      </c>
      <c r="E34" s="827">
        <v>4598570.584999999</v>
      </c>
      <c r="F34" s="827">
        <v>3051322.1770000001</v>
      </c>
      <c r="G34" s="827">
        <v>388744.46600000001</v>
      </c>
      <c r="H34" s="827">
        <v>8096627.3030000031</v>
      </c>
      <c r="I34" s="827">
        <v>2247265.8880000003</v>
      </c>
      <c r="J34" s="827">
        <v>166333.64600000004</v>
      </c>
      <c r="K34" s="827">
        <v>188259.163</v>
      </c>
      <c r="L34" s="827">
        <v>411390.67000000004</v>
      </c>
      <c r="M34" s="827">
        <f t="shared" ref="M34" si="8">N34-(SUM(C34:L34))</f>
        <v>4743357.7138899863</v>
      </c>
      <c r="N34" s="827">
        <v>62049873.667999998</v>
      </c>
    </row>
    <row r="35" spans="1:14">
      <c r="A35" s="951"/>
      <c r="B35" s="868" t="s">
        <v>418</v>
      </c>
      <c r="C35" s="827">
        <v>40302079.857999995</v>
      </c>
      <c r="D35" s="827">
        <v>4025608.7850000001</v>
      </c>
      <c r="E35" s="827">
        <v>3446394.29</v>
      </c>
      <c r="F35" s="827">
        <v>2965284.3659999999</v>
      </c>
      <c r="G35" s="827">
        <v>357328.76599999995</v>
      </c>
      <c r="H35" s="827">
        <v>8362240.8019999992</v>
      </c>
      <c r="I35" s="827">
        <v>1818073.3859999999</v>
      </c>
      <c r="J35" s="827">
        <v>130938.83900000001</v>
      </c>
      <c r="K35" s="827">
        <v>143348.736</v>
      </c>
      <c r="L35" s="827">
        <v>335934.761</v>
      </c>
      <c r="M35" s="827">
        <f t="shared" ref="M35" si="9">N35-(SUM(C35:L35))</f>
        <v>3457775.1670000032</v>
      </c>
      <c r="N35" s="827">
        <v>65345007.755999997</v>
      </c>
    </row>
    <row r="36" spans="1:14">
      <c r="A36" s="951"/>
      <c r="B36" s="868" t="s">
        <v>419</v>
      </c>
      <c r="C36" s="827">
        <v>46491929.374689996</v>
      </c>
      <c r="D36" s="827">
        <v>4666993.5920000002</v>
      </c>
      <c r="E36" s="827">
        <v>3700175.3640000001</v>
      </c>
      <c r="F36" s="827">
        <v>2626400.5435999995</v>
      </c>
      <c r="G36" s="827">
        <v>477395.95200000005</v>
      </c>
      <c r="H36" s="827">
        <v>10428829.701099999</v>
      </c>
      <c r="I36" s="827">
        <v>2013461.1440000003</v>
      </c>
      <c r="J36" s="827">
        <v>124836.48199999999</v>
      </c>
      <c r="K36" s="827">
        <v>123629.25900000001</v>
      </c>
      <c r="L36" s="827">
        <v>439051.13259999995</v>
      </c>
      <c r="M36" s="827">
        <f t="shared" ref="M36" si="10">N36-(SUM(C36:L36))</f>
        <v>3538103.0370099992</v>
      </c>
      <c r="N36" s="827">
        <v>74630805.581999987</v>
      </c>
    </row>
    <row r="37" spans="1:14">
      <c r="A37" s="951"/>
      <c r="B37" s="868" t="s">
        <v>420</v>
      </c>
      <c r="C37" s="827">
        <v>50200411.82</v>
      </c>
      <c r="D37" s="827">
        <v>6217785.9460000005</v>
      </c>
      <c r="E37" s="827">
        <v>3403143.8130000001</v>
      </c>
      <c r="F37" s="827">
        <v>3499207.2009999994</v>
      </c>
      <c r="G37" s="827">
        <v>390247.99399999995</v>
      </c>
      <c r="H37" s="827">
        <v>11226212.033999998</v>
      </c>
      <c r="I37" s="827">
        <v>1755364.0849999997</v>
      </c>
      <c r="J37" s="827">
        <v>96439.737000000008</v>
      </c>
      <c r="K37" s="827">
        <v>87562.361999999994</v>
      </c>
      <c r="L37" s="827">
        <v>433536.35099999997</v>
      </c>
      <c r="M37" s="827">
        <f t="shared" ref="M37" si="11">N37-(SUM(C37:L37))</f>
        <v>4748132.1950000077</v>
      </c>
      <c r="N37" s="827">
        <v>82058043.538000003</v>
      </c>
    </row>
    <row r="38" spans="1:14">
      <c r="A38" s="951"/>
      <c r="B38" s="868" t="s">
        <v>421</v>
      </c>
      <c r="C38" s="827">
        <v>44455287.910000004</v>
      </c>
      <c r="D38" s="827">
        <v>5108876.3320000004</v>
      </c>
      <c r="E38" s="827">
        <v>3181499.3350000004</v>
      </c>
      <c r="F38" s="827">
        <v>3361244.6680000005</v>
      </c>
      <c r="G38" s="827">
        <v>346098.87099999998</v>
      </c>
      <c r="H38" s="827">
        <v>10711036.686000001</v>
      </c>
      <c r="I38" s="827">
        <v>1379056.9739999999</v>
      </c>
      <c r="J38" s="827">
        <v>89400.34599999999</v>
      </c>
      <c r="K38" s="827">
        <v>76226.301999999996</v>
      </c>
      <c r="L38" s="827">
        <v>323208.17400000006</v>
      </c>
      <c r="M38" s="827">
        <f t="shared" ref="M38" si="12">N38-(SUM(C38:L38))</f>
        <v>3903274.0669999868</v>
      </c>
      <c r="N38" s="827">
        <v>72935209.664999992</v>
      </c>
    </row>
    <row r="39" spans="1:14">
      <c r="A39" s="951"/>
      <c r="B39" s="868" t="s">
        <v>422</v>
      </c>
      <c r="C39" s="827">
        <v>43987019.182999998</v>
      </c>
      <c r="D39" s="827">
        <v>6267613.2240000004</v>
      </c>
      <c r="E39" s="827">
        <v>3094256.6969999997</v>
      </c>
      <c r="F39" s="827">
        <v>3624334.8150000004</v>
      </c>
      <c r="G39" s="827">
        <v>339577.27099999995</v>
      </c>
      <c r="H39" s="827">
        <v>10964171.967</v>
      </c>
      <c r="I39" s="827">
        <v>1507932.1179999998</v>
      </c>
      <c r="J39" s="827">
        <v>92076.401000000013</v>
      </c>
      <c r="K39" s="827">
        <v>94638.136000000013</v>
      </c>
      <c r="L39" s="827">
        <v>303295.24400000001</v>
      </c>
      <c r="M39" s="827">
        <f t="shared" ref="M39" si="13">N39-(SUM(C39:L39))</f>
        <v>3197387.3159999996</v>
      </c>
      <c r="N39" s="827">
        <v>73472302.371999994</v>
      </c>
    </row>
    <row r="40" spans="1:14">
      <c r="A40" s="951"/>
      <c r="B40" s="868" t="s">
        <v>423</v>
      </c>
      <c r="C40" s="827">
        <v>42729537.073000014</v>
      </c>
      <c r="D40" s="827">
        <v>5388273.915</v>
      </c>
      <c r="E40" s="827">
        <v>3107621.3470000001</v>
      </c>
      <c r="F40" s="827">
        <v>2300425.8940000003</v>
      </c>
      <c r="G40" s="827">
        <v>408829.25100000005</v>
      </c>
      <c r="H40" s="827">
        <v>11121526.709999997</v>
      </c>
      <c r="I40" s="827">
        <v>1596371.0599999998</v>
      </c>
      <c r="J40" s="827">
        <v>108757.34700000001</v>
      </c>
      <c r="K40" s="827">
        <v>91335.052999999985</v>
      </c>
      <c r="L40" s="827">
        <v>369864.93300000002</v>
      </c>
      <c r="M40" s="827">
        <f t="shared" ref="M40" si="14">N40-(SUM(C40:L40))</f>
        <v>3520356.2919999957</v>
      </c>
      <c r="N40" s="827">
        <v>70742898.875000015</v>
      </c>
    </row>
    <row r="41" spans="1:14">
      <c r="A41" s="951"/>
      <c r="B41" s="868" t="s">
        <v>424</v>
      </c>
      <c r="C41" s="827">
        <v>39168621.765080005</v>
      </c>
      <c r="D41" s="827">
        <v>3778114.818</v>
      </c>
      <c r="E41" s="827">
        <v>3187549.6710000001</v>
      </c>
      <c r="F41" s="827">
        <v>2737001.3959999997</v>
      </c>
      <c r="G41" s="827">
        <v>432456.51990000001</v>
      </c>
      <c r="H41" s="827">
        <v>10597950.734999999</v>
      </c>
      <c r="I41" s="827">
        <v>2156601.233</v>
      </c>
      <c r="J41" s="827">
        <v>196299.28399999999</v>
      </c>
      <c r="K41" s="827">
        <v>161391.55600000001</v>
      </c>
      <c r="L41" s="827">
        <v>465699.67800000007</v>
      </c>
      <c r="M41" s="827">
        <f t="shared" ref="M41" si="15">N41-(SUM(C41:L41))</f>
        <v>4138971.4380199835</v>
      </c>
      <c r="N41" s="827">
        <v>67020658.094000004</v>
      </c>
    </row>
    <row r="42" spans="1:14">
      <c r="A42" s="951"/>
      <c r="B42" s="868" t="s">
        <v>425</v>
      </c>
      <c r="C42" s="827">
        <v>56819383.395000003</v>
      </c>
      <c r="D42" s="827">
        <v>5375939.6879999992</v>
      </c>
      <c r="E42" s="827">
        <v>4561454.74</v>
      </c>
      <c r="F42" s="827">
        <v>4495394.3150000004</v>
      </c>
      <c r="G42" s="827">
        <v>730016.68299999996</v>
      </c>
      <c r="H42" s="827">
        <v>12251873.033</v>
      </c>
      <c r="I42" s="827">
        <v>2474214.2750000004</v>
      </c>
      <c r="J42" s="827">
        <v>199703.21600000001</v>
      </c>
      <c r="K42" s="827">
        <v>182228.35700000002</v>
      </c>
      <c r="L42" s="827">
        <v>518103.01799999998</v>
      </c>
      <c r="M42" s="827">
        <f t="shared" ref="M42" si="16">N42-(SUM(C42:L42))</f>
        <v>5312689.348999992</v>
      </c>
      <c r="N42" s="827">
        <v>92921000.069000006</v>
      </c>
    </row>
    <row r="43" spans="1:14">
      <c r="A43" s="951"/>
      <c r="B43" s="868" t="s">
        <v>426</v>
      </c>
      <c r="C43" s="827">
        <v>50170051.020999998</v>
      </c>
      <c r="D43" s="827">
        <v>5938887.0659999996</v>
      </c>
      <c r="E43" s="827">
        <v>6662516.4529999997</v>
      </c>
      <c r="F43" s="827">
        <v>3850784.4809999997</v>
      </c>
      <c r="G43" s="827">
        <v>642118.86400000006</v>
      </c>
      <c r="H43" s="827">
        <v>11886289.698000003</v>
      </c>
      <c r="I43" s="827">
        <v>2315365.2629999998</v>
      </c>
      <c r="J43" s="827">
        <v>129061.33799999999</v>
      </c>
      <c r="K43" s="827">
        <v>163577.04100000003</v>
      </c>
      <c r="L43" s="827">
        <v>549662.85899999994</v>
      </c>
      <c r="M43" s="827">
        <f t="shared" ref="M43" si="17">N43-(SUM(C43:L43))</f>
        <v>5200314.0570000112</v>
      </c>
      <c r="N43" s="827">
        <v>87508628.140999988</v>
      </c>
    </row>
    <row r="44" spans="1:14">
      <c r="A44" s="1534"/>
      <c r="B44" s="990"/>
      <c r="C44" s="991"/>
      <c r="D44" s="991"/>
      <c r="E44" s="991"/>
      <c r="F44" s="991"/>
      <c r="G44" s="991"/>
      <c r="H44" s="991"/>
      <c r="I44" s="991"/>
      <c r="J44" s="991"/>
      <c r="K44" s="991"/>
      <c r="L44" s="991"/>
      <c r="M44" s="991"/>
      <c r="N44" s="992"/>
    </row>
    <row r="45" spans="1:14">
      <c r="A45" s="1535"/>
      <c r="B45" s="970"/>
      <c r="C45" s="969"/>
      <c r="D45" s="969"/>
      <c r="E45" s="969"/>
      <c r="F45" s="969"/>
      <c r="G45" s="969"/>
      <c r="H45" s="969"/>
      <c r="I45" s="969"/>
      <c r="J45" s="969"/>
      <c r="K45" s="969"/>
      <c r="L45" s="969"/>
      <c r="M45" s="969"/>
      <c r="N45" s="969"/>
    </row>
    <row r="46" spans="1:14">
      <c r="A46" s="1536" t="s">
        <v>1347</v>
      </c>
      <c r="B46" s="1536"/>
      <c r="C46" s="1536"/>
      <c r="D46" s="1536"/>
      <c r="E46" s="1536"/>
      <c r="F46" s="1536"/>
      <c r="G46" s="1536"/>
      <c r="H46" s="1536"/>
      <c r="I46" s="1536"/>
      <c r="J46" s="1536"/>
      <c r="K46" s="1536"/>
      <c r="L46" s="1536"/>
      <c r="M46" s="1536"/>
      <c r="N46" s="1536"/>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4294967295" verticalDpi="4294967295"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3"/>
  <sheetViews>
    <sheetView zoomScale="90" zoomScaleNormal="90" workbookViewId="0">
      <pane ySplit="8" topLeftCell="A17" activePane="bottomLeft" state="frozen"/>
      <selection activeCell="B12" sqref="B12"/>
      <selection pane="bottomLeft" activeCell="B12" sqref="B12"/>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503" t="s">
        <v>1747</v>
      </c>
      <c r="B1" s="415"/>
      <c r="C1" s="415"/>
      <c r="D1" s="415"/>
      <c r="E1" s="415"/>
      <c r="F1" s="415"/>
      <c r="G1" s="415"/>
      <c r="H1" s="415"/>
      <c r="I1" s="415"/>
      <c r="J1" s="415"/>
    </row>
    <row r="2" spans="1:11" s="416" customFormat="1" ht="21.2" customHeight="1">
      <c r="A2" s="1525" t="s">
        <v>98</v>
      </c>
      <c r="B2" s="415"/>
      <c r="C2" s="415"/>
      <c r="D2" s="415"/>
      <c r="E2" s="415"/>
      <c r="F2" s="415"/>
      <c r="G2" s="415"/>
      <c r="H2" s="415"/>
      <c r="I2" s="415"/>
      <c r="J2" s="415"/>
    </row>
    <row r="3" spans="1:11" s="416" customFormat="1" ht="21.2" customHeight="1">
      <c r="A3" s="1503"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528" customFormat="1" ht="21.2" customHeight="1">
      <c r="A5" s="1526"/>
      <c r="B5" s="463" t="s">
        <v>1348</v>
      </c>
      <c r="C5" s="464"/>
      <c r="D5" s="465"/>
      <c r="E5" s="464"/>
      <c r="F5" s="464"/>
      <c r="G5" s="464"/>
      <c r="H5" s="464"/>
      <c r="I5" s="1527"/>
      <c r="J5" s="466" t="s">
        <v>1349</v>
      </c>
    </row>
    <row r="6" spans="1:11" s="471" customFormat="1" ht="21.2" customHeight="1">
      <c r="A6" s="467" t="s">
        <v>1350</v>
      </c>
      <c r="B6" s="463" t="s">
        <v>953</v>
      </c>
      <c r="C6" s="464"/>
      <c r="D6" s="466" t="s">
        <v>1351</v>
      </c>
      <c r="E6" s="468" t="s">
        <v>1352</v>
      </c>
      <c r="F6" s="464"/>
      <c r="G6" s="469" t="s">
        <v>1353</v>
      </c>
      <c r="H6" s="468" t="s">
        <v>397</v>
      </c>
      <c r="I6" s="465"/>
      <c r="J6" s="470" t="s">
        <v>386</v>
      </c>
    </row>
    <row r="7" spans="1:11" s="471" customFormat="1" ht="21.2" customHeight="1">
      <c r="A7" s="1529" t="s">
        <v>1354</v>
      </c>
      <c r="B7" s="1530" t="s">
        <v>1355</v>
      </c>
      <c r="C7" s="1530" t="s">
        <v>1356</v>
      </c>
      <c r="D7" s="1531" t="s">
        <v>386</v>
      </c>
      <c r="E7" s="1530" t="s">
        <v>1355</v>
      </c>
      <c r="F7" s="1530" t="s">
        <v>1356</v>
      </c>
      <c r="G7" s="1531" t="s">
        <v>386</v>
      </c>
      <c r="H7" s="1530" t="s">
        <v>1355</v>
      </c>
      <c r="I7" s="1530" t="s">
        <v>1356</v>
      </c>
      <c r="J7" s="1531" t="s">
        <v>386</v>
      </c>
    </row>
    <row r="8" spans="1:11" s="471" customFormat="1" ht="21.2" customHeight="1">
      <c r="A8" s="960"/>
      <c r="B8" s="472" t="s">
        <v>1357</v>
      </c>
      <c r="C8" s="473" t="s">
        <v>1358</v>
      </c>
      <c r="D8" s="473" t="s">
        <v>397</v>
      </c>
      <c r="E8" s="472" t="s">
        <v>1357</v>
      </c>
      <c r="F8" s="473" t="s">
        <v>1358</v>
      </c>
      <c r="G8" s="473" t="s">
        <v>397</v>
      </c>
      <c r="H8" s="472" t="s">
        <v>1357</v>
      </c>
      <c r="I8" s="473" t="s">
        <v>1358</v>
      </c>
      <c r="J8" s="473" t="s">
        <v>397</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28">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28">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28">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28">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28">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28">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28">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28">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28">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28">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28">
        <v>2019</v>
      </c>
      <c r="B21" s="475">
        <v>355633</v>
      </c>
      <c r="C21" s="475">
        <v>346194</v>
      </c>
      <c r="D21" s="475">
        <f>SUM(B21:C21)</f>
        <v>701827</v>
      </c>
      <c r="E21" s="475">
        <v>564931</v>
      </c>
      <c r="F21" s="475">
        <v>216998</v>
      </c>
      <c r="G21" s="475">
        <f>SUM(E21:F21)</f>
        <v>781929</v>
      </c>
      <c r="H21" s="475">
        <f t="shared" ref="H21:I23" si="4">B21+E21</f>
        <v>920564</v>
      </c>
      <c r="I21" s="475">
        <f t="shared" si="4"/>
        <v>563192</v>
      </c>
      <c r="J21" s="475">
        <f>SUM(H21:I21)</f>
        <v>1483756</v>
      </c>
    </row>
    <row r="22" spans="1:10" s="411" customFormat="1" ht="20.25" customHeight="1">
      <c r="A22" s="1228">
        <v>2020</v>
      </c>
      <c r="B22" s="475">
        <v>361979</v>
      </c>
      <c r="C22" s="475">
        <v>351284</v>
      </c>
      <c r="D22" s="475">
        <f>SUM(B22:C22)</f>
        <v>713263</v>
      </c>
      <c r="E22" s="1318">
        <v>563057</v>
      </c>
      <c r="F22" s="475">
        <v>195884</v>
      </c>
      <c r="G22" s="475">
        <f>SUM(E22:F22)</f>
        <v>758941</v>
      </c>
      <c r="H22" s="475">
        <f t="shared" si="4"/>
        <v>925036</v>
      </c>
      <c r="I22" s="475">
        <f t="shared" si="4"/>
        <v>547168</v>
      </c>
      <c r="J22" s="475">
        <f>SUM(H22:I22)</f>
        <v>1472204</v>
      </c>
    </row>
    <row r="23" spans="1:10" s="411" customFormat="1" ht="20.25" customHeight="1">
      <c r="A23" s="1228">
        <v>2021</v>
      </c>
      <c r="B23" s="475">
        <v>364891</v>
      </c>
      <c r="C23" s="475">
        <v>354442</v>
      </c>
      <c r="D23" s="475">
        <f>SUM(B23:C23)</f>
        <v>719333</v>
      </c>
      <c r="E23" s="475">
        <v>560856</v>
      </c>
      <c r="F23" s="475">
        <v>224176</v>
      </c>
      <c r="G23" s="475">
        <f>SUM(E23:F23)</f>
        <v>785032</v>
      </c>
      <c r="H23" s="475">
        <f t="shared" si="4"/>
        <v>925747</v>
      </c>
      <c r="I23" s="475">
        <f t="shared" si="4"/>
        <v>578618</v>
      </c>
      <c r="J23" s="475">
        <f>SUM(H23:I23)</f>
        <v>1504365</v>
      </c>
    </row>
    <row r="24" spans="1:10" s="411" customFormat="1" ht="20.25" customHeight="1">
      <c r="A24" s="1228">
        <v>2022</v>
      </c>
      <c r="B24" s="475">
        <v>365501</v>
      </c>
      <c r="C24" s="475">
        <v>356156</v>
      </c>
      <c r="D24" s="475">
        <f>SUM(B24:C24)</f>
        <v>721657</v>
      </c>
      <c r="E24" s="475">
        <v>603605</v>
      </c>
      <c r="F24" s="475">
        <v>231920</v>
      </c>
      <c r="G24" s="475">
        <f>SUM(E24:F24)</f>
        <v>835525</v>
      </c>
      <c r="H24" s="475">
        <f t="shared" ref="H24:H25" si="5">B24+E24</f>
        <v>969106</v>
      </c>
      <c r="I24" s="475">
        <f t="shared" ref="I24:I25" si="6">C24+F24</f>
        <v>588076</v>
      </c>
      <c r="J24" s="475">
        <f>SUM(H24:I24)</f>
        <v>1557182</v>
      </c>
    </row>
    <row r="25" spans="1:10" s="411" customFormat="1" ht="20.25" customHeight="1">
      <c r="A25" s="1229">
        <v>2023</v>
      </c>
      <c r="B25" s="475">
        <v>371357</v>
      </c>
      <c r="C25" s="1230">
        <v>361892</v>
      </c>
      <c r="D25" s="1230">
        <f>SUM(B25:C25)</f>
        <v>733249</v>
      </c>
      <c r="E25" s="1230">
        <v>608495</v>
      </c>
      <c r="F25" s="1230">
        <v>242190</v>
      </c>
      <c r="G25" s="1230">
        <f>SUM(E25:F25)</f>
        <v>850685</v>
      </c>
      <c r="H25" s="1230">
        <f t="shared" si="5"/>
        <v>979852</v>
      </c>
      <c r="I25" s="1230">
        <f t="shared" si="6"/>
        <v>604082</v>
      </c>
      <c r="J25" s="1230">
        <f>SUM(H25:I25)</f>
        <v>1583934</v>
      </c>
    </row>
    <row r="26" spans="1:10" s="481" customFormat="1" ht="20.25" customHeight="1">
      <c r="A26" s="477" t="s">
        <v>1359</v>
      </c>
      <c r="B26" s="478"/>
      <c r="C26" s="477"/>
      <c r="D26" s="477"/>
      <c r="E26" s="477"/>
      <c r="F26" s="478"/>
      <c r="G26" s="478"/>
      <c r="H26" s="478"/>
      <c r="I26" s="479"/>
      <c r="J26" s="480" t="s">
        <v>1360</v>
      </c>
    </row>
    <row r="27" spans="1:10" s="481" customFormat="1" ht="20.25" customHeight="1">
      <c r="A27" s="954"/>
      <c r="C27" s="954"/>
      <c r="D27" s="954"/>
      <c r="E27" s="954"/>
      <c r="I27" s="955"/>
      <c r="J27" s="956"/>
    </row>
    <row r="28" spans="1:10" s="481" customFormat="1" ht="20.25" customHeight="1">
      <c r="A28" s="954"/>
      <c r="C28" s="954"/>
      <c r="D28" s="954"/>
      <c r="E28" s="954"/>
      <c r="I28" s="955"/>
      <c r="J28" s="956"/>
    </row>
    <row r="29" spans="1:10">
      <c r="A29" s="1532"/>
      <c r="B29" s="306"/>
      <c r="C29" s="1532"/>
      <c r="D29" s="1532"/>
      <c r="E29" s="1532"/>
      <c r="I29" s="1500"/>
      <c r="J29" s="1533"/>
    </row>
    <row r="30" spans="1:10">
      <c r="A30" s="1461" t="s">
        <v>1361</v>
      </c>
      <c r="B30" s="387"/>
      <c r="C30" s="387"/>
      <c r="D30" s="387"/>
      <c r="E30" s="387"/>
      <c r="F30" s="387"/>
      <c r="G30" s="387"/>
      <c r="H30" s="387"/>
      <c r="I30" s="387"/>
      <c r="J30" s="387"/>
    </row>
    <row r="31" spans="1:10">
      <c r="A31" s="149"/>
    </row>
    <row r="33"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B12" sqref="B12"/>
    </sheetView>
  </sheetViews>
  <sheetFormatPr defaultColWidth="9.140625" defaultRowHeight="15"/>
  <cols>
    <col min="1" max="1" width="30.28515625" style="1511" customWidth="1"/>
    <col min="2" max="15" width="9.140625" style="1511"/>
    <col min="16" max="16" width="30.28515625" style="1511" customWidth="1"/>
    <col min="17" max="16384" width="9.140625" style="1511"/>
  </cols>
  <sheetData>
    <row r="1" spans="1:17" s="416" customFormat="1" ht="21.2" customHeight="1">
      <c r="A1" s="1503" t="s">
        <v>1744</v>
      </c>
      <c r="B1" s="415"/>
      <c r="C1" s="415"/>
      <c r="D1" s="415"/>
      <c r="E1" s="415"/>
      <c r="F1" s="415"/>
      <c r="G1" s="415"/>
      <c r="H1" s="415"/>
      <c r="I1" s="415"/>
      <c r="J1" s="415"/>
      <c r="K1" s="415"/>
      <c r="L1" s="415"/>
      <c r="M1" s="415"/>
      <c r="N1" s="415"/>
      <c r="O1" s="415"/>
      <c r="P1" s="1503"/>
    </row>
    <row r="2" spans="1:17" s="416" customFormat="1" ht="21.2" customHeight="1">
      <c r="A2" s="1503" t="s">
        <v>100</v>
      </c>
      <c r="B2" s="415"/>
      <c r="C2" s="415"/>
      <c r="D2" s="415"/>
      <c r="E2" s="415"/>
      <c r="F2" s="415"/>
      <c r="G2" s="415"/>
      <c r="H2" s="415"/>
      <c r="I2" s="415"/>
      <c r="J2" s="415"/>
      <c r="K2" s="415"/>
      <c r="L2" s="415"/>
      <c r="M2" s="415"/>
      <c r="N2" s="415"/>
      <c r="O2" s="415"/>
      <c r="P2" s="1503"/>
    </row>
    <row r="3" spans="1:17" s="416" customFormat="1" ht="21.2" customHeight="1">
      <c r="A3" s="1503" t="s">
        <v>99</v>
      </c>
      <c r="B3" s="415"/>
      <c r="C3" s="415"/>
      <c r="D3" s="415"/>
      <c r="E3" s="415"/>
      <c r="F3" s="415"/>
      <c r="G3" s="415"/>
      <c r="H3" s="415"/>
      <c r="I3" s="415"/>
      <c r="J3" s="415"/>
      <c r="K3" s="415"/>
      <c r="L3" s="415"/>
      <c r="M3" s="415"/>
      <c r="N3" s="415"/>
      <c r="O3" s="415"/>
      <c r="P3" s="1503"/>
    </row>
    <row r="5" spans="1:17" ht="15.75" customHeight="1">
      <c r="A5" s="1504" t="s">
        <v>1362</v>
      </c>
      <c r="B5" s="1505" t="s">
        <v>1363</v>
      </c>
      <c r="C5" s="1506"/>
      <c r="D5" s="1506"/>
      <c r="E5" s="1507" t="s">
        <v>1364</v>
      </c>
      <c r="F5" s="1507"/>
      <c r="G5" s="1508"/>
      <c r="H5" s="1505" t="s">
        <v>1365</v>
      </c>
      <c r="I5" s="1506"/>
      <c r="J5" s="1506"/>
      <c r="K5" s="1507" t="s">
        <v>1366</v>
      </c>
      <c r="L5" s="1507"/>
      <c r="M5" s="1508"/>
      <c r="N5" s="1509" t="s">
        <v>1021</v>
      </c>
      <c r="O5" s="1510"/>
      <c r="P5" s="1504" t="s">
        <v>861</v>
      </c>
    </row>
    <row r="6" spans="1:17" ht="15.75">
      <c r="A6" s="1504"/>
      <c r="B6" s="1504">
        <v>2023</v>
      </c>
      <c r="C6" s="1504"/>
      <c r="D6" s="1504"/>
      <c r="E6" s="1504">
        <v>2024</v>
      </c>
      <c r="F6" s="1504"/>
      <c r="G6" s="1504"/>
      <c r="H6" s="1504">
        <f>B6</f>
        <v>2023</v>
      </c>
      <c r="I6" s="1504"/>
      <c r="J6" s="1504"/>
      <c r="K6" s="1504">
        <f>E6</f>
        <v>2024</v>
      </c>
      <c r="L6" s="1504"/>
      <c r="M6" s="1504"/>
      <c r="N6" s="1509" t="s">
        <v>397</v>
      </c>
      <c r="O6" s="1510"/>
      <c r="P6" s="1504"/>
    </row>
    <row r="7" spans="1:17" ht="15.75">
      <c r="A7" s="1504"/>
      <c r="B7" s="1512" t="s">
        <v>1355</v>
      </c>
      <c r="C7" s="1512" t="s">
        <v>1356</v>
      </c>
      <c r="D7" s="1512" t="s">
        <v>386</v>
      </c>
      <c r="E7" s="1512" t="s">
        <v>1355</v>
      </c>
      <c r="F7" s="1512" t="s">
        <v>1356</v>
      </c>
      <c r="G7" s="1512" t="s">
        <v>386</v>
      </c>
      <c r="H7" s="1512" t="s">
        <v>1355</v>
      </c>
      <c r="I7" s="1512" t="s">
        <v>1356</v>
      </c>
      <c r="J7" s="1512" t="s">
        <v>386</v>
      </c>
      <c r="K7" s="1512" t="s">
        <v>1355</v>
      </c>
      <c r="L7" s="1512" t="s">
        <v>1356</v>
      </c>
      <c r="M7" s="1512" t="s">
        <v>386</v>
      </c>
      <c r="N7" s="1513">
        <f>H6</f>
        <v>2023</v>
      </c>
      <c r="O7" s="1513">
        <f>K6</f>
        <v>2024</v>
      </c>
      <c r="P7" s="1504"/>
    </row>
    <row r="8" spans="1:17" ht="15.75">
      <c r="A8" s="1504"/>
      <c r="B8" s="1512" t="s">
        <v>1367</v>
      </c>
      <c r="C8" s="1512" t="s">
        <v>1368</v>
      </c>
      <c r="D8" s="1512" t="s">
        <v>397</v>
      </c>
      <c r="E8" s="1512" t="s">
        <v>1367</v>
      </c>
      <c r="F8" s="1512" t="s">
        <v>1368</v>
      </c>
      <c r="G8" s="1512" t="s">
        <v>397</v>
      </c>
      <c r="H8" s="1512" t="s">
        <v>1367</v>
      </c>
      <c r="I8" s="1512" t="s">
        <v>1368</v>
      </c>
      <c r="J8" s="1512" t="s">
        <v>397</v>
      </c>
      <c r="K8" s="1512" t="s">
        <v>1367</v>
      </c>
      <c r="L8" s="1512" t="s">
        <v>1368</v>
      </c>
      <c r="M8" s="1512" t="s">
        <v>397</v>
      </c>
      <c r="N8" s="1514"/>
      <c r="O8" s="1514"/>
      <c r="P8" s="1504"/>
    </row>
    <row r="9" spans="1:17" ht="18" customHeight="1">
      <c r="A9" s="980" t="s">
        <v>1369</v>
      </c>
      <c r="B9" s="1515">
        <v>3409</v>
      </c>
      <c r="C9" s="1515">
        <v>2244</v>
      </c>
      <c r="D9" s="1515">
        <v>5653</v>
      </c>
      <c r="E9" s="1515">
        <v>3397</v>
      </c>
      <c r="F9" s="1515">
        <v>2280</v>
      </c>
      <c r="G9" s="1515">
        <v>5677</v>
      </c>
      <c r="H9" s="1515">
        <v>1312</v>
      </c>
      <c r="I9" s="1515">
        <v>264</v>
      </c>
      <c r="J9" s="1515">
        <v>1576</v>
      </c>
      <c r="K9" s="1515">
        <v>1326</v>
      </c>
      <c r="L9" s="1515">
        <v>263</v>
      </c>
      <c r="M9" s="1515">
        <v>1589</v>
      </c>
      <c r="N9" s="1515">
        <f>D9+J9</f>
        <v>7229</v>
      </c>
      <c r="O9" s="1515">
        <f>G9+M9</f>
        <v>7266</v>
      </c>
      <c r="P9" s="983" t="s">
        <v>1370</v>
      </c>
      <c r="Q9" s="1516"/>
    </row>
    <row r="10" spans="1:17">
      <c r="A10" s="981" t="s">
        <v>30</v>
      </c>
      <c r="B10" s="1517">
        <v>2777</v>
      </c>
      <c r="C10" s="1517">
        <v>1743</v>
      </c>
      <c r="D10" s="1517">
        <v>4520</v>
      </c>
      <c r="E10" s="1517">
        <v>2706</v>
      </c>
      <c r="F10" s="1517">
        <v>1745</v>
      </c>
      <c r="G10" s="1517">
        <v>4451</v>
      </c>
      <c r="H10" s="1517">
        <v>569</v>
      </c>
      <c r="I10" s="1517">
        <v>148</v>
      </c>
      <c r="J10" s="1517">
        <v>717</v>
      </c>
      <c r="K10" s="1517">
        <v>587</v>
      </c>
      <c r="L10" s="1517">
        <v>143</v>
      </c>
      <c r="M10" s="1517">
        <v>730</v>
      </c>
      <c r="N10" s="1517">
        <f t="shared" ref="N10:N22" si="0">D10+J10</f>
        <v>5237</v>
      </c>
      <c r="O10" s="1517">
        <f t="shared" ref="O10:O22" si="1">G10+M10</f>
        <v>5181</v>
      </c>
      <c r="P10" s="984" t="s">
        <v>31</v>
      </c>
      <c r="Q10" s="1516"/>
    </row>
    <row r="11" spans="1:17">
      <c r="A11" s="981" t="s">
        <v>60</v>
      </c>
      <c r="B11" s="1517">
        <v>630</v>
      </c>
      <c r="C11" s="1517">
        <v>501</v>
      </c>
      <c r="D11" s="1517">
        <v>1131</v>
      </c>
      <c r="E11" s="1517">
        <v>689</v>
      </c>
      <c r="F11" s="1517">
        <v>535</v>
      </c>
      <c r="G11" s="1517">
        <v>1224</v>
      </c>
      <c r="H11" s="1517">
        <v>725</v>
      </c>
      <c r="I11" s="1517">
        <v>107</v>
      </c>
      <c r="J11" s="1517">
        <v>832</v>
      </c>
      <c r="K11" s="1517">
        <v>721</v>
      </c>
      <c r="L11" s="1517">
        <v>110</v>
      </c>
      <c r="M11" s="1517">
        <v>831</v>
      </c>
      <c r="N11" s="1517">
        <f t="shared" si="0"/>
        <v>1963</v>
      </c>
      <c r="O11" s="1517">
        <f t="shared" si="1"/>
        <v>2055</v>
      </c>
      <c r="P11" s="984" t="s">
        <v>61</v>
      </c>
      <c r="Q11" s="1516"/>
    </row>
    <row r="12" spans="1:17">
      <c r="A12" s="981" t="s">
        <v>1371</v>
      </c>
      <c r="B12" s="1517">
        <v>2</v>
      </c>
      <c r="C12" s="1517">
        <v>0</v>
      </c>
      <c r="D12" s="1517">
        <v>2</v>
      </c>
      <c r="E12" s="1517">
        <v>2</v>
      </c>
      <c r="F12" s="1517">
        <v>0</v>
      </c>
      <c r="G12" s="1517">
        <v>2</v>
      </c>
      <c r="H12" s="1517">
        <v>18</v>
      </c>
      <c r="I12" s="1517">
        <v>9</v>
      </c>
      <c r="J12" s="1517">
        <v>27</v>
      </c>
      <c r="K12" s="1517">
        <v>18</v>
      </c>
      <c r="L12" s="1517">
        <v>10</v>
      </c>
      <c r="M12" s="1517">
        <v>28</v>
      </c>
      <c r="N12" s="1517">
        <f t="shared" si="0"/>
        <v>29</v>
      </c>
      <c r="O12" s="1517">
        <f t="shared" si="1"/>
        <v>30</v>
      </c>
      <c r="P12" s="984" t="s">
        <v>1372</v>
      </c>
      <c r="Q12" s="1516"/>
    </row>
    <row r="13" spans="1:17" ht="18" customHeight="1">
      <c r="A13" s="980" t="s">
        <v>1373</v>
      </c>
      <c r="B13" s="1515">
        <v>2456</v>
      </c>
      <c r="C13" s="1515">
        <v>1438</v>
      </c>
      <c r="D13" s="1515">
        <v>3894</v>
      </c>
      <c r="E13" s="1515">
        <v>2515</v>
      </c>
      <c r="F13" s="1515">
        <v>1561</v>
      </c>
      <c r="G13" s="1515">
        <v>4076</v>
      </c>
      <c r="H13" s="1515">
        <v>2093</v>
      </c>
      <c r="I13" s="1515">
        <v>662</v>
      </c>
      <c r="J13" s="1515">
        <v>2755</v>
      </c>
      <c r="K13" s="1515">
        <v>2176</v>
      </c>
      <c r="L13" s="1515">
        <v>690</v>
      </c>
      <c r="M13" s="1515">
        <v>2866</v>
      </c>
      <c r="N13" s="1515">
        <f t="shared" si="0"/>
        <v>6649</v>
      </c>
      <c r="O13" s="1515">
        <f t="shared" si="1"/>
        <v>6942</v>
      </c>
      <c r="P13" s="983" t="s">
        <v>1374</v>
      </c>
      <c r="Q13" s="1516"/>
    </row>
    <row r="14" spans="1:17" ht="30">
      <c r="A14" s="981" t="s">
        <v>1375</v>
      </c>
      <c r="B14" s="1517">
        <v>708</v>
      </c>
      <c r="C14" s="1517">
        <v>423</v>
      </c>
      <c r="D14" s="1517">
        <v>1131</v>
      </c>
      <c r="E14" s="1517">
        <v>703</v>
      </c>
      <c r="F14" s="1517">
        <v>458</v>
      </c>
      <c r="G14" s="1517">
        <v>1161</v>
      </c>
      <c r="H14" s="1517">
        <v>272</v>
      </c>
      <c r="I14" s="1517">
        <v>83</v>
      </c>
      <c r="J14" s="1517">
        <v>355</v>
      </c>
      <c r="K14" s="1517">
        <v>265</v>
      </c>
      <c r="L14" s="1517">
        <v>89</v>
      </c>
      <c r="M14" s="1517">
        <v>354</v>
      </c>
      <c r="N14" s="1517">
        <f t="shared" si="0"/>
        <v>1486</v>
      </c>
      <c r="O14" s="1517">
        <f t="shared" si="1"/>
        <v>1515</v>
      </c>
      <c r="P14" s="984" t="s">
        <v>1376</v>
      </c>
      <c r="Q14" s="1516"/>
    </row>
    <row r="15" spans="1:17" ht="30">
      <c r="A15" s="981" t="s">
        <v>1377</v>
      </c>
      <c r="B15" s="1517">
        <v>249</v>
      </c>
      <c r="C15" s="1517">
        <v>214</v>
      </c>
      <c r="D15" s="1517">
        <v>463</v>
      </c>
      <c r="E15" s="1517">
        <v>261</v>
      </c>
      <c r="F15" s="1517">
        <v>254</v>
      </c>
      <c r="G15" s="1517">
        <v>515</v>
      </c>
      <c r="H15" s="1517">
        <v>274</v>
      </c>
      <c r="I15" s="1517">
        <v>140</v>
      </c>
      <c r="J15" s="1517">
        <v>414</v>
      </c>
      <c r="K15" s="1517">
        <v>281</v>
      </c>
      <c r="L15" s="1517">
        <v>157</v>
      </c>
      <c r="M15" s="1517">
        <v>438</v>
      </c>
      <c r="N15" s="1517">
        <f t="shared" si="0"/>
        <v>877</v>
      </c>
      <c r="O15" s="1517">
        <f t="shared" si="1"/>
        <v>953</v>
      </c>
      <c r="P15" s="984" t="s">
        <v>1378</v>
      </c>
      <c r="Q15" s="1516"/>
    </row>
    <row r="16" spans="1:17" ht="17.25" customHeight="1">
      <c r="A16" s="981" t="s">
        <v>1379</v>
      </c>
      <c r="B16" s="1517">
        <v>1165</v>
      </c>
      <c r="C16" s="1517">
        <v>590</v>
      </c>
      <c r="D16" s="1517">
        <v>1755</v>
      </c>
      <c r="E16" s="1517">
        <v>1207</v>
      </c>
      <c r="F16" s="1517">
        <v>634</v>
      </c>
      <c r="G16" s="1517">
        <v>1841</v>
      </c>
      <c r="H16" s="1517">
        <v>1331</v>
      </c>
      <c r="I16" s="1517">
        <v>381</v>
      </c>
      <c r="J16" s="1517">
        <v>1712</v>
      </c>
      <c r="K16" s="1517">
        <v>1406</v>
      </c>
      <c r="L16" s="1517">
        <v>376</v>
      </c>
      <c r="M16" s="1517">
        <v>1782</v>
      </c>
      <c r="N16" s="1517">
        <f t="shared" si="0"/>
        <v>3467</v>
      </c>
      <c r="O16" s="1517">
        <f t="shared" si="1"/>
        <v>3623</v>
      </c>
      <c r="P16" s="984" t="s">
        <v>1380</v>
      </c>
      <c r="Q16" s="1516"/>
    </row>
    <row r="17" spans="1:17" ht="30">
      <c r="A17" s="1120" t="s">
        <v>1381</v>
      </c>
      <c r="B17" s="1517">
        <v>199</v>
      </c>
      <c r="C17" s="1517">
        <v>72</v>
      </c>
      <c r="D17" s="1517">
        <v>271</v>
      </c>
      <c r="E17" s="1517">
        <v>210</v>
      </c>
      <c r="F17" s="1517">
        <v>67</v>
      </c>
      <c r="G17" s="1517">
        <v>277</v>
      </c>
      <c r="H17" s="1517">
        <v>895</v>
      </c>
      <c r="I17" s="1517">
        <v>287</v>
      </c>
      <c r="J17" s="1517">
        <v>1182</v>
      </c>
      <c r="K17" s="1517">
        <v>875</v>
      </c>
      <c r="L17" s="1517">
        <v>274</v>
      </c>
      <c r="M17" s="1517">
        <v>1149</v>
      </c>
      <c r="N17" s="1517">
        <f t="shared" si="0"/>
        <v>1453</v>
      </c>
      <c r="O17" s="1517">
        <f t="shared" si="1"/>
        <v>1426</v>
      </c>
      <c r="P17" s="985" t="s">
        <v>1382</v>
      </c>
      <c r="Q17" s="1516"/>
    </row>
    <row r="18" spans="1:17" ht="45">
      <c r="A18" s="982" t="s">
        <v>1383</v>
      </c>
      <c r="B18" s="1517">
        <v>435</v>
      </c>
      <c r="C18" s="1517">
        <v>297</v>
      </c>
      <c r="D18" s="1517">
        <v>732</v>
      </c>
      <c r="E18" s="1517">
        <v>440</v>
      </c>
      <c r="F18" s="1517">
        <v>315</v>
      </c>
      <c r="G18" s="1517">
        <v>755</v>
      </c>
      <c r="H18" s="1517">
        <v>126</v>
      </c>
      <c r="I18" s="1517">
        <v>26</v>
      </c>
      <c r="J18" s="1517">
        <v>152</v>
      </c>
      <c r="K18" s="1517">
        <v>126</v>
      </c>
      <c r="L18" s="1517">
        <v>27</v>
      </c>
      <c r="M18" s="1517">
        <v>153</v>
      </c>
      <c r="N18" s="1517">
        <f t="shared" si="0"/>
        <v>884</v>
      </c>
      <c r="O18" s="1517">
        <f t="shared" si="1"/>
        <v>908</v>
      </c>
      <c r="P18" s="986" t="s">
        <v>1384</v>
      </c>
      <c r="Q18" s="1516"/>
    </row>
    <row r="19" spans="1:17">
      <c r="A19" s="981" t="s">
        <v>1385</v>
      </c>
      <c r="B19" s="1517">
        <v>87</v>
      </c>
      <c r="C19" s="1517">
        <v>65</v>
      </c>
      <c r="D19" s="1517">
        <v>152</v>
      </c>
      <c r="E19" s="1517">
        <v>102</v>
      </c>
      <c r="F19" s="1517">
        <v>71</v>
      </c>
      <c r="G19" s="1517">
        <v>173</v>
      </c>
      <c r="H19" s="1517">
        <v>21</v>
      </c>
      <c r="I19" s="1517">
        <v>5</v>
      </c>
      <c r="J19" s="1517">
        <v>26</v>
      </c>
      <c r="K19" s="1517">
        <v>28</v>
      </c>
      <c r="L19" s="1517">
        <v>6</v>
      </c>
      <c r="M19" s="1517">
        <v>34</v>
      </c>
      <c r="N19" s="1517">
        <f t="shared" si="0"/>
        <v>178</v>
      </c>
      <c r="O19" s="1517">
        <f t="shared" si="1"/>
        <v>207</v>
      </c>
      <c r="P19" s="984" t="s">
        <v>1386</v>
      </c>
      <c r="Q19" s="1516"/>
    </row>
    <row r="20" spans="1:17">
      <c r="A20" s="981" t="s">
        <v>73</v>
      </c>
      <c r="B20" s="1517">
        <v>247</v>
      </c>
      <c r="C20" s="1517">
        <v>146</v>
      </c>
      <c r="D20" s="1517">
        <v>393</v>
      </c>
      <c r="E20" s="1517">
        <v>242</v>
      </c>
      <c r="F20" s="1517">
        <v>144</v>
      </c>
      <c r="G20" s="1517">
        <v>386</v>
      </c>
      <c r="H20" s="1517">
        <v>195</v>
      </c>
      <c r="I20" s="1517">
        <v>53</v>
      </c>
      <c r="J20" s="1517">
        <v>248</v>
      </c>
      <c r="K20" s="1517">
        <v>196</v>
      </c>
      <c r="L20" s="1517">
        <v>62</v>
      </c>
      <c r="M20" s="1517">
        <v>258</v>
      </c>
      <c r="N20" s="1517">
        <f t="shared" si="0"/>
        <v>641</v>
      </c>
      <c r="O20" s="1517">
        <f t="shared" si="1"/>
        <v>644</v>
      </c>
      <c r="P20" s="984" t="s">
        <v>74</v>
      </c>
      <c r="Q20" s="1516"/>
    </row>
    <row r="21" spans="1:17" ht="18" customHeight="1">
      <c r="A21" s="980" t="s">
        <v>1730</v>
      </c>
      <c r="B21" s="1515">
        <v>212</v>
      </c>
      <c r="C21" s="1515">
        <v>236</v>
      </c>
      <c r="D21" s="1515">
        <v>448</v>
      </c>
      <c r="E21" s="1515">
        <v>251</v>
      </c>
      <c r="F21" s="1515">
        <v>255</v>
      </c>
      <c r="G21" s="1515">
        <v>506</v>
      </c>
      <c r="H21" s="1515">
        <v>29</v>
      </c>
      <c r="I21" s="1515">
        <v>7</v>
      </c>
      <c r="J21" s="1515">
        <v>36</v>
      </c>
      <c r="K21" s="1515">
        <v>49</v>
      </c>
      <c r="L21" s="1515">
        <v>12</v>
      </c>
      <c r="M21" s="1515">
        <v>61</v>
      </c>
      <c r="N21" s="1515">
        <f t="shared" si="0"/>
        <v>484</v>
      </c>
      <c r="O21" s="1515">
        <f t="shared" si="1"/>
        <v>567</v>
      </c>
      <c r="P21" s="983" t="s">
        <v>1731</v>
      </c>
      <c r="Q21" s="1516"/>
    </row>
    <row r="22" spans="1:17" ht="18" customHeight="1">
      <c r="A22" s="980" t="s">
        <v>397</v>
      </c>
      <c r="B22" s="1515">
        <v>6077</v>
      </c>
      <c r="C22" s="1515">
        <v>3918</v>
      </c>
      <c r="D22" s="1515">
        <v>9995</v>
      </c>
      <c r="E22" s="1317">
        <v>6163</v>
      </c>
      <c r="F22" s="1515">
        <v>4096</v>
      </c>
      <c r="G22" s="1515">
        <v>10259</v>
      </c>
      <c r="H22" s="1515">
        <v>3434</v>
      </c>
      <c r="I22" s="1515">
        <v>933</v>
      </c>
      <c r="J22" s="1515">
        <v>4367</v>
      </c>
      <c r="K22" s="1515">
        <v>3551</v>
      </c>
      <c r="L22" s="1515">
        <v>965</v>
      </c>
      <c r="M22" s="1515">
        <v>4516</v>
      </c>
      <c r="N22" s="1515">
        <f t="shared" si="0"/>
        <v>14362</v>
      </c>
      <c r="O22" s="1515">
        <f t="shared" si="1"/>
        <v>14775</v>
      </c>
      <c r="P22" s="983" t="s">
        <v>386</v>
      </c>
      <c r="Q22" s="1516"/>
    </row>
    <row r="23" spans="1:17" ht="42" customHeight="1">
      <c r="A23" s="1518" t="s">
        <v>1745</v>
      </c>
      <c r="B23" s="1518"/>
      <c r="C23" s="1518"/>
      <c r="D23" s="1518"/>
      <c r="E23" s="1518"/>
      <c r="F23" s="1518"/>
      <c r="G23" s="1518"/>
      <c r="H23" s="1518"/>
      <c r="I23" s="1519" t="s">
        <v>1387</v>
      </c>
      <c r="J23" s="1519"/>
      <c r="K23" s="1519"/>
      <c r="L23" s="1519"/>
      <c r="M23" s="1519"/>
      <c r="N23" s="1519"/>
      <c r="O23" s="1519"/>
      <c r="P23" s="1519"/>
    </row>
    <row r="24" spans="1:17" ht="41.25" customHeight="1">
      <c r="A24" s="1520" t="s">
        <v>1746</v>
      </c>
      <c r="B24" s="1520"/>
      <c r="C24" s="1520"/>
      <c r="D24" s="1520"/>
      <c r="E24" s="1520"/>
      <c r="F24" s="1520"/>
      <c r="G24" s="1520"/>
      <c r="H24" s="1520"/>
      <c r="I24" s="1521" t="s">
        <v>1388</v>
      </c>
      <c r="J24" s="1521"/>
      <c r="K24" s="1521"/>
      <c r="L24" s="1521"/>
      <c r="M24" s="1521"/>
      <c r="N24" s="1521"/>
      <c r="O24" s="1521"/>
      <c r="P24" s="1521"/>
    </row>
    <row r="25" spans="1:17">
      <c r="A25" s="1522"/>
      <c r="B25" s="1522"/>
      <c r="C25" s="1522"/>
      <c r="D25" s="1522"/>
      <c r="E25" s="1522"/>
      <c r="F25" s="1522"/>
      <c r="G25" s="1522"/>
      <c r="H25" s="1522"/>
      <c r="I25" s="1523"/>
      <c r="J25" s="1523"/>
      <c r="K25" s="1523"/>
      <c r="L25" s="1523"/>
      <c r="M25" s="1523"/>
      <c r="N25" s="1523"/>
      <c r="O25" s="1523"/>
      <c r="P25" s="1523"/>
    </row>
    <row r="26" spans="1:17">
      <c r="A26" s="1524"/>
      <c r="B26" s="1524"/>
      <c r="C26" s="1524"/>
      <c r="D26" s="1524"/>
      <c r="E26" s="1524"/>
      <c r="F26" s="1524"/>
      <c r="G26" s="1524"/>
      <c r="H26" s="1524"/>
      <c r="I26" s="1524"/>
      <c r="J26" s="1524"/>
      <c r="K26" s="1524"/>
      <c r="L26" s="1524"/>
      <c r="M26" s="1524"/>
      <c r="N26" s="1524"/>
      <c r="O26" s="1524"/>
    </row>
    <row r="27" spans="1:17" s="148" customFormat="1">
      <c r="A27" s="1461" t="s">
        <v>1389</v>
      </c>
      <c r="B27" s="387"/>
      <c r="C27" s="387"/>
      <c r="D27" s="387"/>
      <c r="E27" s="387"/>
      <c r="F27" s="387"/>
      <c r="G27" s="387"/>
      <c r="H27" s="387"/>
      <c r="I27" s="387"/>
      <c r="J27" s="387"/>
      <c r="K27" s="387"/>
      <c r="L27" s="387"/>
      <c r="M27" s="387"/>
      <c r="N27" s="387"/>
      <c r="O27" s="387"/>
      <c r="P27" s="387"/>
    </row>
  </sheetData>
  <mergeCells count="20">
    <mergeCell ref="N5:O5"/>
    <mergeCell ref="K6:M6"/>
    <mergeCell ref="N6:O6"/>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s>
  <printOptions horizontalCentered="1"/>
  <pageMargins left="0.7" right="0.7" top="0.75" bottom="0.75" header="0.3" footer="0.3"/>
  <pageSetup scale="66"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N57"/>
  <sheetViews>
    <sheetView zoomScaleNormal="100" workbookViewId="0">
      <selection activeCell="B12" sqref="B12"/>
    </sheetView>
  </sheetViews>
  <sheetFormatPr defaultColWidth="9.140625" defaultRowHeight="12.75"/>
  <cols>
    <col min="1" max="1" width="46.5703125" style="149" customWidth="1"/>
    <col min="2" max="9" width="10.5703125" style="149" customWidth="1"/>
    <col min="10" max="10" width="36.85546875" style="149" customWidth="1"/>
    <col min="11" max="16384" width="9.140625" style="381"/>
  </cols>
  <sheetData>
    <row r="1" spans="1:12" ht="18" customHeight="1">
      <c r="A1" s="1459" t="s">
        <v>1743</v>
      </c>
      <c r="B1" s="1460"/>
      <c r="C1" s="1460"/>
      <c r="D1" s="1460"/>
      <c r="E1" s="1460"/>
      <c r="F1" s="1460"/>
      <c r="G1" s="1460"/>
      <c r="H1" s="1460"/>
      <c r="I1" s="1460"/>
      <c r="J1" s="1461"/>
    </row>
    <row r="2" spans="1:12" ht="16.5">
      <c r="A2" s="1462" t="s">
        <v>1390</v>
      </c>
      <c r="B2" s="1463"/>
      <c r="C2" s="1463"/>
      <c r="D2" s="1463"/>
      <c r="E2" s="1463"/>
      <c r="F2" s="1463"/>
      <c r="G2" s="1463"/>
      <c r="H2" s="1463"/>
      <c r="I2" s="1463"/>
      <c r="J2" s="1461"/>
    </row>
    <row r="3" spans="1:12" ht="16.5">
      <c r="A3" s="1409" t="s">
        <v>101</v>
      </c>
      <c r="B3" s="1463"/>
      <c r="C3" s="1463"/>
      <c r="D3" s="1463"/>
      <c r="E3" s="1463"/>
      <c r="F3" s="1463"/>
      <c r="G3" s="1463"/>
      <c r="H3" s="1463"/>
      <c r="I3" s="1463"/>
      <c r="J3" s="1461"/>
    </row>
    <row r="4" spans="1:12" ht="14.25">
      <c r="A4" s="149" t="s">
        <v>373</v>
      </c>
      <c r="J4" s="360" t="s">
        <v>374</v>
      </c>
    </row>
    <row r="5" spans="1:12">
      <c r="A5" s="1464" t="s">
        <v>1391</v>
      </c>
      <c r="B5" s="1465" t="s">
        <v>1392</v>
      </c>
      <c r="C5" s="1466" t="s">
        <v>1392</v>
      </c>
      <c r="D5" s="1466"/>
      <c r="E5" s="1466"/>
      <c r="F5" s="1466"/>
      <c r="G5" s="1466" t="s">
        <v>1672</v>
      </c>
      <c r="H5" s="1466"/>
      <c r="I5" s="1466"/>
      <c r="J5" s="1467" t="s">
        <v>1393</v>
      </c>
    </row>
    <row r="6" spans="1:12">
      <c r="A6" s="1468"/>
      <c r="B6" s="1469"/>
      <c r="C6" s="1470" t="s">
        <v>1394</v>
      </c>
      <c r="D6" s="1471" t="s">
        <v>1395</v>
      </c>
      <c r="E6" s="1470" t="s">
        <v>1396</v>
      </c>
      <c r="F6" s="1471" t="s">
        <v>1397</v>
      </c>
      <c r="G6" s="1470" t="s">
        <v>1394</v>
      </c>
      <c r="H6" s="1471" t="s">
        <v>1395</v>
      </c>
      <c r="I6" s="1470" t="s">
        <v>1396</v>
      </c>
      <c r="J6" s="1472"/>
    </row>
    <row r="7" spans="1:12">
      <c r="A7" s="1473"/>
      <c r="B7" s="1474"/>
      <c r="C7" s="823" t="s">
        <v>243</v>
      </c>
      <c r="D7" s="823" t="s">
        <v>244</v>
      </c>
      <c r="E7" s="823" t="s">
        <v>245</v>
      </c>
      <c r="F7" s="823" t="s">
        <v>242</v>
      </c>
      <c r="G7" s="823" t="s">
        <v>243</v>
      </c>
      <c r="H7" s="823" t="s">
        <v>244</v>
      </c>
      <c r="I7" s="823" t="s">
        <v>245</v>
      </c>
      <c r="J7" s="1475"/>
    </row>
    <row r="8" spans="1:12" ht="30.75" customHeight="1">
      <c r="A8" s="1476" t="s">
        <v>1398</v>
      </c>
      <c r="B8" s="1477">
        <f t="shared" ref="B8:B10" si="0">SUM(C8:F8)</f>
        <v>1015.0000000000002</v>
      </c>
      <c r="C8" s="1478">
        <f t="shared" ref="C8" si="1">C9+C16+C27+C34</f>
        <v>226.40000000000035</v>
      </c>
      <c r="D8" s="1478">
        <f t="shared" ref="D8:E8" si="2">D9+D16+D27+D34</f>
        <v>215.80000000000024</v>
      </c>
      <c r="E8" s="1478">
        <f t="shared" si="2"/>
        <v>326.5999999999998</v>
      </c>
      <c r="F8" s="1478">
        <f t="shared" ref="F8:G8" si="3">F9+F16+F27+F34</f>
        <v>246.19999999999982</v>
      </c>
      <c r="G8" s="1478">
        <f t="shared" si="3"/>
        <v>208.20000000000022</v>
      </c>
      <c r="H8" s="1478">
        <f t="shared" ref="H8:I8" si="4">H9+H16+H27+H34</f>
        <v>252.59999999999985</v>
      </c>
      <c r="I8" s="1478">
        <f t="shared" si="4"/>
        <v>148.59999999999988</v>
      </c>
      <c r="J8" s="1479" t="s">
        <v>1399</v>
      </c>
    </row>
    <row r="9" spans="1:12" ht="15">
      <c r="A9" s="1480" t="s">
        <v>1400</v>
      </c>
      <c r="B9" s="1481">
        <f t="shared" si="0"/>
        <v>1693</v>
      </c>
      <c r="C9" s="1481">
        <f t="shared" ref="C9" si="5">C10+C13</f>
        <v>376.60000000000036</v>
      </c>
      <c r="D9" s="1481">
        <f t="shared" ref="D9:E9" si="6">D10+D13</f>
        <v>361.40000000000009</v>
      </c>
      <c r="E9" s="1481">
        <f t="shared" si="6"/>
        <v>528.69999999999982</v>
      </c>
      <c r="F9" s="1481">
        <f t="shared" ref="F9:G9" si="7">F10+F13</f>
        <v>426.29999999999973</v>
      </c>
      <c r="G9" s="1481">
        <f t="shared" si="7"/>
        <v>349.20000000000027</v>
      </c>
      <c r="H9" s="1481">
        <f t="shared" ref="H9:I9" si="8">H10+H13</f>
        <v>386.09999999999991</v>
      </c>
      <c r="I9" s="1481">
        <f t="shared" si="8"/>
        <v>278.09999999999991</v>
      </c>
      <c r="J9" s="1482" t="s">
        <v>1401</v>
      </c>
      <c r="K9" s="1115"/>
    </row>
    <row r="10" spans="1:12" ht="14.25">
      <c r="A10" s="1483" t="s">
        <v>1402</v>
      </c>
      <c r="B10" s="1481">
        <f t="shared" si="0"/>
        <v>9329.9</v>
      </c>
      <c r="C10" s="1481">
        <f t="shared" ref="C10" si="9">C11+C12</f>
        <v>2188.8000000000002</v>
      </c>
      <c r="D10" s="1481">
        <f t="shared" ref="D10:E10" si="10">D11+D12</f>
        <v>2267</v>
      </c>
      <c r="E10" s="1481">
        <f t="shared" si="10"/>
        <v>2443.1999999999998</v>
      </c>
      <c r="F10" s="1481">
        <f t="shared" ref="F10:G10" si="11">F11+F12</f>
        <v>2430.8999999999996</v>
      </c>
      <c r="G10" s="1481">
        <f t="shared" si="11"/>
        <v>2363.8000000000002</v>
      </c>
      <c r="H10" s="1481">
        <f t="shared" ref="H10:I10" si="12">H11+H12</f>
        <v>2292.6999999999998</v>
      </c>
      <c r="I10" s="1481">
        <f t="shared" si="12"/>
        <v>2202.6999999999998</v>
      </c>
      <c r="J10" s="1484" t="s">
        <v>1403</v>
      </c>
    </row>
    <row r="11" spans="1:12" ht="14.25">
      <c r="A11" s="1485" t="s">
        <v>1404</v>
      </c>
      <c r="B11" s="1481">
        <f>SUM(C11:F11)</f>
        <v>4664.8999999999996</v>
      </c>
      <c r="C11" s="1486">
        <v>998.1</v>
      </c>
      <c r="D11" s="1316">
        <v>1120</v>
      </c>
      <c r="E11" s="1316">
        <v>1316</v>
      </c>
      <c r="F11" s="1316">
        <v>1230.8</v>
      </c>
      <c r="G11" s="1486">
        <v>1140</v>
      </c>
      <c r="H11" s="1486">
        <v>1192.7</v>
      </c>
      <c r="I11" s="1486">
        <v>1063.5999999999999</v>
      </c>
      <c r="J11" s="1487" t="s">
        <v>1405</v>
      </c>
    </row>
    <row r="12" spans="1:12" ht="14.25">
      <c r="A12" s="1485" t="s">
        <v>1406</v>
      </c>
      <c r="B12" s="1481">
        <f t="shared" ref="B12:B13" si="13">SUM(C12:F12)</f>
        <v>4665</v>
      </c>
      <c r="C12" s="1486">
        <v>1190.7</v>
      </c>
      <c r="D12" s="1316">
        <v>1147</v>
      </c>
      <c r="E12" s="1316">
        <v>1127.2</v>
      </c>
      <c r="F12" s="1316">
        <v>1200.0999999999999</v>
      </c>
      <c r="G12" s="1486">
        <v>1223.8</v>
      </c>
      <c r="H12" s="1486">
        <v>1100</v>
      </c>
      <c r="I12" s="1486">
        <v>1139.0999999999999</v>
      </c>
      <c r="J12" s="1487" t="s">
        <v>1407</v>
      </c>
    </row>
    <row r="13" spans="1:12" ht="14.25">
      <c r="A13" s="1483" t="s">
        <v>1408</v>
      </c>
      <c r="B13" s="1481">
        <f t="shared" si="13"/>
        <v>-7636.9</v>
      </c>
      <c r="C13" s="1486">
        <f t="shared" ref="C13:D13" si="14">SUM(C14:C15)</f>
        <v>-1812.1999999999998</v>
      </c>
      <c r="D13" s="1486">
        <f t="shared" si="14"/>
        <v>-1905.6</v>
      </c>
      <c r="E13" s="1486">
        <f t="shared" ref="E13:I13" si="15">SUM(E14:E15)</f>
        <v>-1914.5</v>
      </c>
      <c r="F13" s="1486">
        <f t="shared" si="15"/>
        <v>-2004.6</v>
      </c>
      <c r="G13" s="1486">
        <f t="shared" si="15"/>
        <v>-2014.6</v>
      </c>
      <c r="H13" s="1486">
        <f t="shared" si="15"/>
        <v>-1906.6</v>
      </c>
      <c r="I13" s="1486">
        <f t="shared" si="15"/>
        <v>-1924.6</v>
      </c>
      <c r="J13" s="1484" t="s">
        <v>1409</v>
      </c>
    </row>
    <row r="14" spans="1:12" ht="14.25">
      <c r="A14" s="1485" t="s">
        <v>1404</v>
      </c>
      <c r="B14" s="1481">
        <f>SUM(C14:F14)</f>
        <v>-2436.7000000000003</v>
      </c>
      <c r="C14" s="1486">
        <v>-524.1</v>
      </c>
      <c r="D14" s="1316">
        <v>-583.6</v>
      </c>
      <c r="E14" s="1316">
        <v>-652.6</v>
      </c>
      <c r="F14" s="1316">
        <v>-676.4</v>
      </c>
      <c r="G14" s="1486">
        <v>-667.1</v>
      </c>
      <c r="H14" s="1486">
        <v>-637.9</v>
      </c>
      <c r="I14" s="1486">
        <v>-625.79999999999995</v>
      </c>
      <c r="J14" s="1487" t="s">
        <v>1405</v>
      </c>
    </row>
    <row r="15" spans="1:12" ht="14.25">
      <c r="A15" s="1485" t="s">
        <v>1406</v>
      </c>
      <c r="B15" s="1481">
        <f>SUM(C15:F15)</f>
        <v>-5200.2</v>
      </c>
      <c r="C15" s="1486">
        <v>-1288.0999999999999</v>
      </c>
      <c r="D15" s="1316">
        <v>-1322</v>
      </c>
      <c r="E15" s="1316">
        <v>-1261.9000000000001</v>
      </c>
      <c r="F15" s="1316">
        <v>-1328.2</v>
      </c>
      <c r="G15" s="1486">
        <v>-1347.5</v>
      </c>
      <c r="H15" s="1486">
        <v>-1268.7</v>
      </c>
      <c r="I15" s="1486">
        <v>-1298.8</v>
      </c>
      <c r="J15" s="1487" t="s">
        <v>1407</v>
      </c>
    </row>
    <row r="16" spans="1:12" ht="30" customHeight="1">
      <c r="A16" s="1480" t="s">
        <v>1410</v>
      </c>
      <c r="B16" s="1481">
        <f>SUM(C16:F16)</f>
        <v>1303.8000000000002</v>
      </c>
      <c r="C16" s="1486">
        <f t="shared" ref="C16:D16" si="16">SUM(C17:C18)</f>
        <v>291.79999999999995</v>
      </c>
      <c r="D16" s="1486">
        <f t="shared" si="16"/>
        <v>316.10000000000014</v>
      </c>
      <c r="E16" s="1486">
        <f t="shared" ref="E16:I16" si="17">SUM(E17:E18)</f>
        <v>319.79999999999995</v>
      </c>
      <c r="F16" s="1486">
        <f t="shared" si="17"/>
        <v>376.10000000000014</v>
      </c>
      <c r="G16" s="1486">
        <f t="shared" si="17"/>
        <v>389.09999999999991</v>
      </c>
      <c r="H16" s="1486">
        <f t="shared" si="17"/>
        <v>428.29999999999995</v>
      </c>
      <c r="I16" s="1486">
        <f t="shared" si="17"/>
        <v>434.20000000000005</v>
      </c>
      <c r="J16" s="1482" t="s">
        <v>1411</v>
      </c>
      <c r="L16" s="1115"/>
    </row>
    <row r="17" spans="1:14" s="1491" customFormat="1" ht="15">
      <c r="A17" s="1488" t="s">
        <v>1412</v>
      </c>
      <c r="B17" s="1486">
        <f t="shared" ref="B17:B34" si="18">SUM(C17:F17)</f>
        <v>5841.5</v>
      </c>
      <c r="C17" s="1486">
        <v>1320.6</v>
      </c>
      <c r="D17" s="1316">
        <v>1432.2</v>
      </c>
      <c r="E17" s="1316">
        <v>1443.8</v>
      </c>
      <c r="F17" s="1316">
        <v>1644.9</v>
      </c>
      <c r="G17" s="1486">
        <v>1549.6</v>
      </c>
      <c r="H17" s="1486">
        <v>1565.5</v>
      </c>
      <c r="I17" s="1486">
        <v>1606.5</v>
      </c>
      <c r="J17" s="1489" t="s">
        <v>1413</v>
      </c>
      <c r="K17" s="1490"/>
      <c r="L17" s="1490"/>
    </row>
    <row r="18" spans="1:14" s="1491" customFormat="1" ht="15">
      <c r="A18" s="1488" t="s">
        <v>1414</v>
      </c>
      <c r="B18" s="1486">
        <f t="shared" si="18"/>
        <v>-4537.7</v>
      </c>
      <c r="C18" s="1486">
        <v>-1028.8</v>
      </c>
      <c r="D18" s="1316">
        <v>-1116.0999999999999</v>
      </c>
      <c r="E18" s="1316">
        <v>-1124</v>
      </c>
      <c r="F18" s="1316">
        <v>-1268.8</v>
      </c>
      <c r="G18" s="1486">
        <v>-1160.5</v>
      </c>
      <c r="H18" s="1486">
        <v>-1137.2</v>
      </c>
      <c r="I18" s="1486">
        <v>-1172.3</v>
      </c>
      <c r="J18" s="1489" t="s">
        <v>1415</v>
      </c>
      <c r="M18" s="1490"/>
      <c r="N18" s="1490"/>
    </row>
    <row r="19" spans="1:14" s="1491" customFormat="1" ht="14.25">
      <c r="A19" s="1492" t="s">
        <v>1416</v>
      </c>
      <c r="B19" s="1486">
        <f t="shared" si="18"/>
        <v>93</v>
      </c>
      <c r="C19" s="1486">
        <v>21.8</v>
      </c>
      <c r="D19" s="1316">
        <v>25.3</v>
      </c>
      <c r="E19" s="1316">
        <v>20.2</v>
      </c>
      <c r="F19" s="1316">
        <v>25.7</v>
      </c>
      <c r="G19" s="1486">
        <v>19.8</v>
      </c>
      <c r="H19" s="1486">
        <v>23.6</v>
      </c>
      <c r="I19" s="1486">
        <v>15.3</v>
      </c>
      <c r="J19" s="1493" t="s">
        <v>1417</v>
      </c>
      <c r="K19" s="1490"/>
      <c r="L19" s="1490"/>
    </row>
    <row r="20" spans="1:14" ht="14.25">
      <c r="A20" s="1492" t="s">
        <v>1418</v>
      </c>
      <c r="B20" s="1486">
        <f t="shared" si="18"/>
        <v>-834.3</v>
      </c>
      <c r="C20" s="1486">
        <v>-200.6</v>
      </c>
      <c r="D20" s="1316">
        <v>-205.8</v>
      </c>
      <c r="E20" s="1316">
        <v>-209.5</v>
      </c>
      <c r="F20" s="1316">
        <v>-218.4</v>
      </c>
      <c r="G20" s="1486">
        <v>-178.9</v>
      </c>
      <c r="H20" s="1486">
        <v>-154.19999999999999</v>
      </c>
      <c r="I20" s="1486">
        <v>-162.80000000000001</v>
      </c>
      <c r="J20" s="1493" t="s">
        <v>1419</v>
      </c>
    </row>
    <row r="21" spans="1:14" ht="14.25">
      <c r="A21" s="1492" t="s">
        <v>1420</v>
      </c>
      <c r="B21" s="1486">
        <f t="shared" si="18"/>
        <v>1310.8000000000002</v>
      </c>
      <c r="C21" s="1486">
        <v>289.2</v>
      </c>
      <c r="D21" s="1316">
        <v>312.3</v>
      </c>
      <c r="E21" s="1316">
        <v>327.2</v>
      </c>
      <c r="F21" s="1316">
        <v>382.1</v>
      </c>
      <c r="G21" s="1486">
        <v>358.5</v>
      </c>
      <c r="H21" s="1486">
        <v>367</v>
      </c>
      <c r="I21" s="1486">
        <v>381.5</v>
      </c>
      <c r="J21" s="1493" t="s">
        <v>1421</v>
      </c>
    </row>
    <row r="22" spans="1:14" ht="14.25">
      <c r="A22" s="1492" t="s">
        <v>1422</v>
      </c>
      <c r="B22" s="1486">
        <f t="shared" si="18"/>
        <v>2.7</v>
      </c>
      <c r="C22" s="1486">
        <v>0.5</v>
      </c>
      <c r="D22" s="1316">
        <v>0.6</v>
      </c>
      <c r="E22" s="1316">
        <v>0.7</v>
      </c>
      <c r="F22" s="1316">
        <v>0.9</v>
      </c>
      <c r="G22" s="1486">
        <v>0.8</v>
      </c>
      <c r="H22" s="1486">
        <v>1.1000000000000001</v>
      </c>
      <c r="I22" s="1486">
        <v>1.2</v>
      </c>
      <c r="J22" s="1493" t="s">
        <v>1423</v>
      </c>
    </row>
    <row r="23" spans="1:14" ht="14.25">
      <c r="A23" s="1492" t="s">
        <v>1424</v>
      </c>
      <c r="B23" s="1486">
        <f t="shared" si="18"/>
        <v>272.79999999999995</v>
      </c>
      <c r="C23" s="1486">
        <v>69.2</v>
      </c>
      <c r="D23" s="1316">
        <v>68.5</v>
      </c>
      <c r="E23" s="1316">
        <v>67</v>
      </c>
      <c r="F23" s="1316">
        <v>68.099999999999994</v>
      </c>
      <c r="G23" s="1486">
        <v>68.900000000000006</v>
      </c>
      <c r="H23" s="1486">
        <v>66.900000000000006</v>
      </c>
      <c r="I23" s="1486">
        <v>67.099999999999994</v>
      </c>
      <c r="J23" s="1493" t="s">
        <v>1425</v>
      </c>
    </row>
    <row r="24" spans="1:14" ht="14.25">
      <c r="A24" s="1492" t="s">
        <v>1426</v>
      </c>
      <c r="B24" s="1486">
        <f t="shared" si="18"/>
        <v>95.199999999999989</v>
      </c>
      <c r="C24" s="1486">
        <v>22.5</v>
      </c>
      <c r="D24" s="1316">
        <v>24.1</v>
      </c>
      <c r="E24" s="1316">
        <v>23.2</v>
      </c>
      <c r="F24" s="1316">
        <v>25.4</v>
      </c>
      <c r="G24" s="1486">
        <v>24.1</v>
      </c>
      <c r="H24" s="1486">
        <v>25.4</v>
      </c>
      <c r="I24" s="1486">
        <v>26.3</v>
      </c>
      <c r="J24" s="1493" t="s">
        <v>1427</v>
      </c>
    </row>
    <row r="25" spans="1:14" ht="14.25">
      <c r="A25" s="1492" t="s">
        <v>1428</v>
      </c>
      <c r="B25" s="1486">
        <f t="shared" si="18"/>
        <v>288.5</v>
      </c>
      <c r="C25" s="1486">
        <v>71.099999999999994</v>
      </c>
      <c r="D25" s="1316">
        <v>71.900000000000006</v>
      </c>
      <c r="E25" s="1316">
        <v>72</v>
      </c>
      <c r="F25" s="1316">
        <v>73.5</v>
      </c>
      <c r="G25" s="1486">
        <v>73.400000000000006</v>
      </c>
      <c r="H25" s="1486">
        <v>78.3</v>
      </c>
      <c r="I25" s="1486">
        <v>84.5</v>
      </c>
      <c r="J25" s="1493" t="s">
        <v>1429</v>
      </c>
    </row>
    <row r="26" spans="1:14" ht="14.25">
      <c r="A26" s="1492" t="s">
        <v>1430</v>
      </c>
      <c r="B26" s="1486">
        <f t="shared" si="18"/>
        <v>75.099999999999994</v>
      </c>
      <c r="C26" s="1486">
        <v>18.100000000000001</v>
      </c>
      <c r="D26" s="1316">
        <v>19.2</v>
      </c>
      <c r="E26" s="1316">
        <v>19</v>
      </c>
      <c r="F26" s="1316">
        <v>18.8</v>
      </c>
      <c r="G26" s="1486">
        <v>22.5</v>
      </c>
      <c r="H26" s="1486">
        <v>20.2</v>
      </c>
      <c r="I26" s="1486">
        <v>21.1</v>
      </c>
      <c r="J26" s="1493" t="s">
        <v>1431</v>
      </c>
    </row>
    <row r="27" spans="1:14" ht="30" customHeight="1">
      <c r="A27" s="1480" t="s">
        <v>1432</v>
      </c>
      <c r="B27" s="1486">
        <f t="shared" si="18"/>
        <v>-980.39999999999986</v>
      </c>
      <c r="C27" s="1486">
        <f t="shared" ref="C27" si="19">SUM(C28:C29)</f>
        <v>-206.39999999999998</v>
      </c>
      <c r="D27" s="1486">
        <f t="shared" ref="D27:E27" si="20">SUM(D28:D29)</f>
        <v>-210.5</v>
      </c>
      <c r="E27" s="1486">
        <f t="shared" si="20"/>
        <v>-273.79999999999995</v>
      </c>
      <c r="F27" s="1486">
        <f t="shared" ref="F27:I27" si="21">SUM(F28:F29)</f>
        <v>-289.7</v>
      </c>
      <c r="G27" s="1486">
        <f t="shared" si="21"/>
        <v>-299.39999999999998</v>
      </c>
      <c r="H27" s="1486">
        <f t="shared" si="21"/>
        <v>-311.5</v>
      </c>
      <c r="I27" s="1486">
        <f t="shared" si="21"/>
        <v>-317.80000000000007</v>
      </c>
      <c r="J27" s="1482" t="s">
        <v>1433</v>
      </c>
    </row>
    <row r="28" spans="1:14" s="1491" customFormat="1" ht="15">
      <c r="A28" s="1488" t="s">
        <v>1412</v>
      </c>
      <c r="B28" s="1486">
        <f t="shared" si="18"/>
        <v>1859.8</v>
      </c>
      <c r="C28" s="1486">
        <v>444.5</v>
      </c>
      <c r="D28" s="1486">
        <v>453.4</v>
      </c>
      <c r="E28" s="1486">
        <v>470.6</v>
      </c>
      <c r="F28" s="1486">
        <v>491.3</v>
      </c>
      <c r="G28" s="1486">
        <v>501.1</v>
      </c>
      <c r="H28" s="1486">
        <v>521</v>
      </c>
      <c r="I28" s="1486">
        <v>531.4</v>
      </c>
      <c r="J28" s="1489" t="s">
        <v>1413</v>
      </c>
    </row>
    <row r="29" spans="1:14" s="1491" customFormat="1" ht="15">
      <c r="A29" s="1488" t="s">
        <v>1414</v>
      </c>
      <c r="B29" s="1486">
        <f t="shared" si="18"/>
        <v>-2840.2</v>
      </c>
      <c r="C29" s="1486">
        <v>-650.9</v>
      </c>
      <c r="D29" s="1486">
        <v>-663.9</v>
      </c>
      <c r="E29" s="1486">
        <v>-744.4</v>
      </c>
      <c r="F29" s="1486">
        <v>-781</v>
      </c>
      <c r="G29" s="1486">
        <v>-800.5</v>
      </c>
      <c r="H29" s="1486">
        <v>-832.5</v>
      </c>
      <c r="I29" s="1486">
        <v>-849.2</v>
      </c>
      <c r="J29" s="1489" t="s">
        <v>1415</v>
      </c>
    </row>
    <row r="30" spans="1:14" ht="21" customHeight="1">
      <c r="A30" s="1492" t="s">
        <v>1434</v>
      </c>
      <c r="B30" s="1481">
        <f t="shared" si="18"/>
        <v>-980.40000000000009</v>
      </c>
      <c r="C30" s="1486">
        <f t="shared" ref="C30:D30" si="22">C31+C32+C33</f>
        <v>-206.4</v>
      </c>
      <c r="D30" s="1486">
        <f t="shared" si="22"/>
        <v>-210.5</v>
      </c>
      <c r="E30" s="1486">
        <f t="shared" ref="E30:I30" si="23">E31+E32+E33</f>
        <v>-273.8</v>
      </c>
      <c r="F30" s="1486">
        <f t="shared" si="23"/>
        <v>-289.7</v>
      </c>
      <c r="G30" s="1486">
        <f t="shared" si="23"/>
        <v>-299.39999999999998</v>
      </c>
      <c r="H30" s="1486">
        <f t="shared" si="23"/>
        <v>-311.5</v>
      </c>
      <c r="I30" s="1486">
        <f t="shared" si="23"/>
        <v>-317.8</v>
      </c>
      <c r="J30" s="1493" t="s">
        <v>1435</v>
      </c>
      <c r="K30" s="1115"/>
    </row>
    <row r="31" spans="1:14" ht="14.25">
      <c r="A31" s="1483" t="s">
        <v>1436</v>
      </c>
      <c r="B31" s="1481">
        <f t="shared" si="18"/>
        <v>-485.70000000000005</v>
      </c>
      <c r="C31" s="1486">
        <v>-118.6</v>
      </c>
      <c r="D31" s="1316">
        <v>-120.9</v>
      </c>
      <c r="E31" s="1316">
        <v>-122.1</v>
      </c>
      <c r="F31" s="1316">
        <v>-124.1</v>
      </c>
      <c r="G31" s="1486">
        <v>-139.9</v>
      </c>
      <c r="H31" s="1486">
        <v>-143.30000000000001</v>
      </c>
      <c r="I31" s="1486">
        <v>-142.69999999999999</v>
      </c>
      <c r="J31" s="1484" t="s">
        <v>1437</v>
      </c>
      <c r="L31" s="1115"/>
    </row>
    <row r="32" spans="1:14" ht="14.25">
      <c r="A32" s="1483" t="s">
        <v>1438</v>
      </c>
      <c r="B32" s="1481">
        <f t="shared" si="18"/>
        <v>-195.2</v>
      </c>
      <c r="C32" s="1486">
        <v>-38.200000000000003</v>
      </c>
      <c r="D32" s="1316">
        <v>-39</v>
      </c>
      <c r="E32" s="1316">
        <v>-60.5</v>
      </c>
      <c r="F32" s="1316">
        <v>-57.5</v>
      </c>
      <c r="G32" s="1486">
        <v>-62.3</v>
      </c>
      <c r="H32" s="1486">
        <v>-65.400000000000006</v>
      </c>
      <c r="I32" s="1486">
        <v>-63.4</v>
      </c>
      <c r="J32" s="1484" t="s">
        <v>1439</v>
      </c>
      <c r="L32" s="1115"/>
    </row>
    <row r="33" spans="1:12" ht="14.25">
      <c r="A33" s="1483" t="s">
        <v>1440</v>
      </c>
      <c r="B33" s="1481">
        <f t="shared" si="18"/>
        <v>-299.5</v>
      </c>
      <c r="C33" s="1486">
        <v>-49.6</v>
      </c>
      <c r="D33" s="1316">
        <v>-50.6</v>
      </c>
      <c r="E33" s="1316">
        <v>-91.2</v>
      </c>
      <c r="F33" s="1316">
        <v>-108.1</v>
      </c>
      <c r="G33" s="1486">
        <v>-97.2</v>
      </c>
      <c r="H33" s="1486">
        <v>-102.8</v>
      </c>
      <c r="I33" s="1486">
        <v>-111.7</v>
      </c>
      <c r="J33" s="1484" t="s">
        <v>1441</v>
      </c>
      <c r="L33" s="1115"/>
    </row>
    <row r="34" spans="1:12" ht="30" customHeight="1">
      <c r="A34" s="1480" t="s">
        <v>1442</v>
      </c>
      <c r="B34" s="1481">
        <f t="shared" si="18"/>
        <v>-1001.4</v>
      </c>
      <c r="C34" s="1486">
        <f t="shared" ref="C34:I34" si="24">C35</f>
        <v>-235.6</v>
      </c>
      <c r="D34" s="1486">
        <f t="shared" si="24"/>
        <v>-251.2</v>
      </c>
      <c r="E34" s="1486">
        <f t="shared" si="24"/>
        <v>-248.1</v>
      </c>
      <c r="F34" s="1486">
        <f t="shared" si="24"/>
        <v>-266.5</v>
      </c>
      <c r="G34" s="1486">
        <f t="shared" si="24"/>
        <v>-230.7</v>
      </c>
      <c r="H34" s="1486">
        <f t="shared" si="24"/>
        <v>-250.3</v>
      </c>
      <c r="I34" s="1486">
        <f t="shared" si="24"/>
        <v>-245.9</v>
      </c>
      <c r="J34" s="1482" t="s">
        <v>1443</v>
      </c>
    </row>
    <row r="35" spans="1:12" ht="14.25">
      <c r="A35" s="1492" t="s">
        <v>1444</v>
      </c>
      <c r="B35" s="1481">
        <f>SUM(C35:F35)</f>
        <v>-1001.4</v>
      </c>
      <c r="C35" s="1486">
        <v>-235.6</v>
      </c>
      <c r="D35" s="1316">
        <v>-251.2</v>
      </c>
      <c r="E35" s="1316">
        <v>-248.1</v>
      </c>
      <c r="F35" s="1316">
        <v>-266.5</v>
      </c>
      <c r="G35" s="1486">
        <v>-230.7</v>
      </c>
      <c r="H35" s="1486">
        <v>-250.3</v>
      </c>
      <c r="I35" s="1486">
        <v>-245.9</v>
      </c>
      <c r="J35" s="1493" t="s">
        <v>1445</v>
      </c>
    </row>
    <row r="36" spans="1:12" ht="30" customHeight="1">
      <c r="A36" s="1494" t="s">
        <v>1446</v>
      </c>
      <c r="B36" s="1495">
        <f>SUM(C36:F36)</f>
        <v>-163.79999999999998</v>
      </c>
      <c r="C36" s="1496">
        <f t="shared" ref="C36:D36" si="25">C37+C39</f>
        <v>77.199999999999903</v>
      </c>
      <c r="D36" s="1496">
        <f t="shared" si="25"/>
        <v>-50.200000000000045</v>
      </c>
      <c r="E36" s="1496">
        <f t="shared" ref="E36:G36" si="26">E37+E39</f>
        <v>113.69999999999993</v>
      </c>
      <c r="F36" s="1496">
        <f t="shared" si="26"/>
        <v>-304.49999999999977</v>
      </c>
      <c r="G36" s="1496">
        <f t="shared" si="26"/>
        <v>-308.19999999999987</v>
      </c>
      <c r="H36" s="1496">
        <f t="shared" ref="H36:I36" si="27">H37+H39</f>
        <v>-62.700000000000045</v>
      </c>
      <c r="I36" s="1496">
        <f t="shared" si="27"/>
        <v>-101.29999999999995</v>
      </c>
      <c r="J36" s="1479" t="s">
        <v>1447</v>
      </c>
    </row>
    <row r="37" spans="1:12" ht="30" customHeight="1">
      <c r="A37" s="1480" t="s">
        <v>1448</v>
      </c>
      <c r="B37" s="1481">
        <f t="shared" ref="B37:B50" si="28">SUM(C37:F37)</f>
        <v>131.6</v>
      </c>
      <c r="C37" s="1486">
        <f t="shared" ref="C37:I37" si="29">C38</f>
        <v>0</v>
      </c>
      <c r="D37" s="1486">
        <f t="shared" si="29"/>
        <v>0</v>
      </c>
      <c r="E37" s="1486">
        <f t="shared" si="29"/>
        <v>0</v>
      </c>
      <c r="F37" s="1486">
        <f t="shared" si="29"/>
        <v>131.6</v>
      </c>
      <c r="G37" s="1486">
        <f t="shared" si="29"/>
        <v>0</v>
      </c>
      <c r="H37" s="1486">
        <f t="shared" si="29"/>
        <v>0</v>
      </c>
      <c r="I37" s="1486">
        <f t="shared" si="29"/>
        <v>0</v>
      </c>
      <c r="J37" s="1482" t="s">
        <v>1449</v>
      </c>
    </row>
    <row r="38" spans="1:12" ht="14.25">
      <c r="A38" s="1492" t="s">
        <v>1450</v>
      </c>
      <c r="B38" s="1481">
        <f t="shared" si="28"/>
        <v>131.6</v>
      </c>
      <c r="C38" s="1486">
        <v>0</v>
      </c>
      <c r="D38" s="1316">
        <v>0</v>
      </c>
      <c r="E38" s="1316">
        <v>0</v>
      </c>
      <c r="F38" s="1316">
        <v>131.6</v>
      </c>
      <c r="G38" s="1486">
        <v>0</v>
      </c>
      <c r="H38" s="1486">
        <v>0</v>
      </c>
      <c r="I38" s="1486">
        <v>0</v>
      </c>
      <c r="J38" s="1493" t="s">
        <v>1451</v>
      </c>
    </row>
    <row r="39" spans="1:12" ht="30" customHeight="1">
      <c r="A39" s="1480" t="s">
        <v>1452</v>
      </c>
      <c r="B39" s="1481">
        <f t="shared" si="28"/>
        <v>-295.39999999999998</v>
      </c>
      <c r="C39" s="1486">
        <f t="shared" ref="C39:D39" si="30">C40+C43+C46+C49</f>
        <v>77.199999999999903</v>
      </c>
      <c r="D39" s="1486">
        <f t="shared" si="30"/>
        <v>-50.200000000000045</v>
      </c>
      <c r="E39" s="1486">
        <f t="shared" ref="E39:G39" si="31">E40+E43+E46+E49</f>
        <v>113.69999999999993</v>
      </c>
      <c r="F39" s="1486">
        <f t="shared" si="31"/>
        <v>-436.0999999999998</v>
      </c>
      <c r="G39" s="1486">
        <f t="shared" si="31"/>
        <v>-308.19999999999987</v>
      </c>
      <c r="H39" s="1486">
        <f t="shared" ref="H39:I39" si="32">H40+H43+H46+H49</f>
        <v>-62.700000000000045</v>
      </c>
      <c r="I39" s="1486">
        <f t="shared" si="32"/>
        <v>-101.29999999999995</v>
      </c>
      <c r="J39" s="1482" t="s">
        <v>1453</v>
      </c>
    </row>
    <row r="40" spans="1:12" ht="15">
      <c r="A40" s="1488" t="s">
        <v>1454</v>
      </c>
      <c r="B40" s="1481">
        <f t="shared" si="28"/>
        <v>2153.1999999999998</v>
      </c>
      <c r="C40" s="1486">
        <f t="shared" ref="C40:D40" si="33">C41+C42</f>
        <v>1060.8</v>
      </c>
      <c r="D40" s="1486">
        <f t="shared" si="33"/>
        <v>351.5</v>
      </c>
      <c r="E40" s="1486">
        <f t="shared" ref="E40:G40" si="34">E41+E42</f>
        <v>568</v>
      </c>
      <c r="F40" s="1486">
        <f t="shared" si="34"/>
        <v>172.90000000000003</v>
      </c>
      <c r="G40" s="1486">
        <f t="shared" si="34"/>
        <v>144.5</v>
      </c>
      <c r="H40" s="1486">
        <f t="shared" ref="H40:I40" si="35">H41+H42</f>
        <v>244.3</v>
      </c>
      <c r="I40" s="1486">
        <f t="shared" si="35"/>
        <v>-185.5</v>
      </c>
      <c r="J40" s="1489" t="s">
        <v>1455</v>
      </c>
    </row>
    <row r="41" spans="1:12" ht="14.25">
      <c r="A41" s="1483" t="s">
        <v>1456</v>
      </c>
      <c r="B41" s="1481">
        <f t="shared" si="28"/>
        <v>-418.49999999999994</v>
      </c>
      <c r="C41" s="1486">
        <v>-78.400000000000006</v>
      </c>
      <c r="D41" s="1316">
        <v>-76.3</v>
      </c>
      <c r="E41" s="1316">
        <v>-146.1</v>
      </c>
      <c r="F41" s="1316">
        <v>-117.7</v>
      </c>
      <c r="G41" s="1486">
        <v>56.4</v>
      </c>
      <c r="H41" s="1486">
        <v>-37</v>
      </c>
      <c r="I41" s="1486">
        <v>-77.099999999999994</v>
      </c>
      <c r="J41" s="1484" t="s">
        <v>1457</v>
      </c>
    </row>
    <row r="42" spans="1:12" ht="14.25">
      <c r="A42" s="1483" t="s">
        <v>1458</v>
      </c>
      <c r="B42" s="1481">
        <f t="shared" si="28"/>
        <v>2571.6999999999998</v>
      </c>
      <c r="C42" s="1486">
        <v>1139.2</v>
      </c>
      <c r="D42" s="1316">
        <v>427.8</v>
      </c>
      <c r="E42" s="1316">
        <v>714.1</v>
      </c>
      <c r="F42" s="1316">
        <v>290.60000000000002</v>
      </c>
      <c r="G42" s="1486">
        <v>88.1</v>
      </c>
      <c r="H42" s="1486">
        <v>281.3</v>
      </c>
      <c r="I42" s="1486">
        <v>-108.4</v>
      </c>
      <c r="J42" s="1484" t="s">
        <v>1459</v>
      </c>
    </row>
    <row r="43" spans="1:12" ht="30" customHeight="1">
      <c r="A43" s="1488" t="s">
        <v>1460</v>
      </c>
      <c r="B43" s="1481">
        <f t="shared" si="28"/>
        <v>299.60000000000014</v>
      </c>
      <c r="C43" s="1486">
        <f t="shared" ref="C43:D43" si="36">SUM(C44:C45)</f>
        <v>401.5</v>
      </c>
      <c r="D43" s="1486">
        <f t="shared" si="36"/>
        <v>676.8</v>
      </c>
      <c r="E43" s="1486">
        <f t="shared" ref="E43:I43" si="37">SUM(E44:E45)</f>
        <v>-334.3</v>
      </c>
      <c r="F43" s="1486">
        <f t="shared" si="37"/>
        <v>-444.39999999999986</v>
      </c>
      <c r="G43" s="1486">
        <f t="shared" si="37"/>
        <v>-775.8</v>
      </c>
      <c r="H43" s="1486">
        <f t="shared" si="37"/>
        <v>621.9</v>
      </c>
      <c r="I43" s="1486">
        <f t="shared" si="37"/>
        <v>-232.89999999999998</v>
      </c>
      <c r="J43" s="1489" t="s">
        <v>1461</v>
      </c>
    </row>
    <row r="44" spans="1:12" ht="14.25">
      <c r="A44" s="1483" t="s">
        <v>1462</v>
      </c>
      <c r="B44" s="1481">
        <f t="shared" si="28"/>
        <v>-2001.3</v>
      </c>
      <c r="C44" s="1486">
        <v>-659.7</v>
      </c>
      <c r="D44" s="1316">
        <v>-75.099999999999994</v>
      </c>
      <c r="E44" s="1316">
        <v>-143.9</v>
      </c>
      <c r="F44" s="1316">
        <v>-1122.5999999999999</v>
      </c>
      <c r="G44" s="1486">
        <v>-919.1</v>
      </c>
      <c r="H44" s="1486">
        <v>616.1</v>
      </c>
      <c r="I44" s="1486">
        <v>-799</v>
      </c>
      <c r="J44" s="1484" t="s">
        <v>1463</v>
      </c>
      <c r="L44" s="1115"/>
    </row>
    <row r="45" spans="1:12" ht="14.25">
      <c r="A45" s="1483" t="s">
        <v>1464</v>
      </c>
      <c r="B45" s="1481">
        <f t="shared" si="28"/>
        <v>2300.8999999999996</v>
      </c>
      <c r="C45" s="1486">
        <v>1061.2</v>
      </c>
      <c r="D45" s="1316">
        <v>751.9</v>
      </c>
      <c r="E45" s="1316">
        <v>-190.4</v>
      </c>
      <c r="F45" s="1316">
        <v>678.2</v>
      </c>
      <c r="G45" s="1486">
        <v>143.30000000000001</v>
      </c>
      <c r="H45" s="1486">
        <v>5.8</v>
      </c>
      <c r="I45" s="1486">
        <v>566.1</v>
      </c>
      <c r="J45" s="1484" t="s">
        <v>1465</v>
      </c>
      <c r="L45" s="1115"/>
    </row>
    <row r="46" spans="1:12" ht="30" customHeight="1">
      <c r="A46" s="1488" t="s">
        <v>1466</v>
      </c>
      <c r="B46" s="1481">
        <f t="shared" si="28"/>
        <v>-2635.2000000000003</v>
      </c>
      <c r="C46" s="1486">
        <f t="shared" ref="C46:D46" si="38">SUM(C47:C48)</f>
        <v>-1449.7</v>
      </c>
      <c r="D46" s="1486">
        <f t="shared" si="38"/>
        <v>-464.9</v>
      </c>
      <c r="E46" s="1486">
        <f t="shared" ref="E46:I46" si="39">SUM(E47:E48)</f>
        <v>-581.70000000000005</v>
      </c>
      <c r="F46" s="1486">
        <f t="shared" si="39"/>
        <v>-138.89999999999998</v>
      </c>
      <c r="G46" s="1486">
        <f t="shared" si="39"/>
        <v>326.80000000000007</v>
      </c>
      <c r="H46" s="1486">
        <f t="shared" si="39"/>
        <v>-945.90000000000009</v>
      </c>
      <c r="I46" s="1486">
        <f t="shared" si="39"/>
        <v>722.2</v>
      </c>
      <c r="J46" s="1489" t="s">
        <v>1467</v>
      </c>
    </row>
    <row r="47" spans="1:12" ht="14.25">
      <c r="A47" s="1483" t="s">
        <v>1462</v>
      </c>
      <c r="B47" s="1481">
        <f t="shared" si="28"/>
        <v>-3279.2</v>
      </c>
      <c r="C47" s="1486">
        <v>-985</v>
      </c>
      <c r="D47" s="1316">
        <v>-210.5</v>
      </c>
      <c r="E47" s="1316">
        <v>-1181.2</v>
      </c>
      <c r="F47" s="1316">
        <v>-902.5</v>
      </c>
      <c r="G47" s="1486">
        <v>-643.79999999999995</v>
      </c>
      <c r="H47" s="1486">
        <v>-1946.9</v>
      </c>
      <c r="I47" s="1486">
        <v>379.3</v>
      </c>
      <c r="J47" s="1484" t="s">
        <v>1463</v>
      </c>
      <c r="L47" s="1115"/>
    </row>
    <row r="48" spans="1:12" ht="14.25">
      <c r="A48" s="1483" t="s">
        <v>1464</v>
      </c>
      <c r="B48" s="1481">
        <f t="shared" si="28"/>
        <v>644</v>
      </c>
      <c r="C48" s="1486">
        <v>-464.7</v>
      </c>
      <c r="D48" s="1316">
        <v>-254.4</v>
      </c>
      <c r="E48" s="1316">
        <v>599.5</v>
      </c>
      <c r="F48" s="1316">
        <v>763.6</v>
      </c>
      <c r="G48" s="1486">
        <v>970.6</v>
      </c>
      <c r="H48" s="1486">
        <v>1001</v>
      </c>
      <c r="I48" s="1486">
        <v>342.9</v>
      </c>
      <c r="J48" s="1484" t="s">
        <v>1465</v>
      </c>
      <c r="L48" s="1115"/>
    </row>
    <row r="49" spans="1:12" ht="30" customHeight="1">
      <c r="A49" s="1488" t="s">
        <v>1468</v>
      </c>
      <c r="B49" s="1481">
        <f t="shared" si="28"/>
        <v>-113.00000000000001</v>
      </c>
      <c r="C49" s="1486">
        <v>64.599999999999994</v>
      </c>
      <c r="D49" s="1316">
        <v>-613.6</v>
      </c>
      <c r="E49" s="1316">
        <v>461.7</v>
      </c>
      <c r="F49" s="1316">
        <v>-25.7</v>
      </c>
      <c r="G49" s="1486">
        <v>-3.7</v>
      </c>
      <c r="H49" s="1486">
        <v>17</v>
      </c>
      <c r="I49" s="1486">
        <v>-405.1</v>
      </c>
      <c r="J49" s="1489" t="s">
        <v>1469</v>
      </c>
      <c r="L49" s="1115"/>
    </row>
    <row r="50" spans="1:12" ht="30" customHeight="1">
      <c r="A50" s="1476" t="s">
        <v>1470</v>
      </c>
      <c r="B50" s="1477">
        <f t="shared" si="28"/>
        <v>-851.20000000000027</v>
      </c>
      <c r="C50" s="1497">
        <f t="shared" ref="C50:D50" si="40">-(C8+C36)</f>
        <v>-303.60000000000025</v>
      </c>
      <c r="D50" s="1497">
        <f t="shared" si="40"/>
        <v>-165.60000000000019</v>
      </c>
      <c r="E50" s="1497">
        <f t="shared" ref="E50:I50" si="41">-(E8+E36)</f>
        <v>-440.29999999999973</v>
      </c>
      <c r="F50" s="1497">
        <f t="shared" si="41"/>
        <v>58.299999999999955</v>
      </c>
      <c r="G50" s="1497">
        <f t="shared" si="41"/>
        <v>99.999999999999659</v>
      </c>
      <c r="H50" s="1497">
        <f t="shared" si="41"/>
        <v>-189.89999999999981</v>
      </c>
      <c r="I50" s="1497">
        <f t="shared" si="41"/>
        <v>-47.299999999999926</v>
      </c>
      <c r="J50" s="1479" t="s">
        <v>1471</v>
      </c>
    </row>
    <row r="51" spans="1:12" ht="21" customHeight="1">
      <c r="A51" s="1498" t="s">
        <v>1472</v>
      </c>
      <c r="B51" s="1499"/>
      <c r="C51" s="1499"/>
      <c r="D51" s="1499"/>
      <c r="E51" s="1499"/>
      <c r="F51" s="1499"/>
      <c r="G51" s="1499"/>
      <c r="H51" s="1499"/>
      <c r="I51" s="1499"/>
      <c r="J51" s="409" t="s">
        <v>1473</v>
      </c>
    </row>
    <row r="52" spans="1:12">
      <c r="A52" s="1500" t="s">
        <v>1474</v>
      </c>
      <c r="J52" s="1501" t="s">
        <v>1475</v>
      </c>
    </row>
    <row r="54" spans="1:12" s="148" customFormat="1" ht="15">
      <c r="A54" s="1461" t="s">
        <v>1476</v>
      </c>
      <c r="B54" s="387"/>
      <c r="C54" s="387"/>
      <c r="D54" s="387"/>
      <c r="E54" s="387"/>
      <c r="F54" s="387"/>
      <c r="G54" s="387"/>
      <c r="H54" s="387"/>
      <c r="I54" s="387"/>
      <c r="J54" s="387"/>
    </row>
    <row r="55" spans="1:12">
      <c r="B55" s="1502"/>
      <c r="C55" s="1502"/>
      <c r="D55" s="1502"/>
      <c r="E55" s="1502"/>
      <c r="F55" s="1502"/>
      <c r="G55" s="1502"/>
      <c r="H55" s="1502"/>
      <c r="I55" s="1502"/>
    </row>
    <row r="56" spans="1:12">
      <c r="B56" s="1502"/>
      <c r="C56" s="1502"/>
      <c r="D56" s="1502"/>
      <c r="E56" s="1502"/>
      <c r="F56" s="1502"/>
      <c r="G56" s="1502"/>
      <c r="H56" s="1502"/>
      <c r="I56" s="1502"/>
    </row>
    <row r="57" spans="1:12">
      <c r="B57" s="1502"/>
      <c r="C57" s="1502"/>
      <c r="D57" s="1502"/>
      <c r="E57" s="1502"/>
      <c r="F57" s="1502"/>
      <c r="G57" s="1502"/>
      <c r="H57" s="1502"/>
      <c r="I57" s="1502"/>
    </row>
  </sheetData>
  <mergeCells count="3">
    <mergeCell ref="A5:A7"/>
    <mergeCell ref="J5:J7"/>
    <mergeCell ref="B5:B7"/>
  </mergeCells>
  <printOptions horizontalCentered="1" verticalCentered="1"/>
  <pageMargins left="0" right="0" top="0" bottom="0"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M36"/>
  <sheetViews>
    <sheetView zoomScale="80" zoomScaleNormal="80" workbookViewId="0">
      <selection activeCell="B12" sqref="B12"/>
    </sheetView>
  </sheetViews>
  <sheetFormatPr defaultColWidth="9.140625" defaultRowHeight="15"/>
  <cols>
    <col min="1" max="1" width="32.7109375" style="180" customWidth="1"/>
    <col min="2" max="9" width="13.7109375" style="180" customWidth="1"/>
    <col min="10" max="10" width="29.7109375" style="180" customWidth="1"/>
    <col min="11" max="12" width="9.140625" style="180"/>
    <col min="13" max="13" width="15.42578125" style="180" customWidth="1"/>
    <col min="14" max="16384" width="9.140625" style="180"/>
  </cols>
  <sheetData>
    <row r="1" spans="1:13" s="1454" customFormat="1" ht="18" customHeight="1">
      <c r="A1" s="1452" t="s">
        <v>1477</v>
      </c>
      <c r="B1" s="1452"/>
      <c r="C1" s="1452"/>
      <c r="D1" s="1452"/>
      <c r="E1" s="1452"/>
      <c r="F1" s="1452"/>
      <c r="G1" s="1452"/>
      <c r="H1" s="1452"/>
      <c r="I1" s="1452"/>
      <c r="J1" s="1453"/>
    </row>
    <row r="2" spans="1:13" s="1454" customFormat="1" ht="18" customHeight="1">
      <c r="A2" s="1453" t="s">
        <v>104</v>
      </c>
      <c r="B2" s="1453"/>
      <c r="C2" s="1453"/>
      <c r="D2" s="1453"/>
      <c r="E2" s="1453"/>
      <c r="F2" s="1453"/>
      <c r="G2" s="1453"/>
      <c r="H2" s="1453"/>
      <c r="I2" s="1453"/>
      <c r="J2" s="1453"/>
    </row>
    <row r="3" spans="1:13" s="1454" customFormat="1" ht="18" customHeight="1">
      <c r="A3" s="1453" t="s">
        <v>103</v>
      </c>
      <c r="B3" s="1453"/>
      <c r="C3" s="1453"/>
      <c r="D3" s="1453"/>
      <c r="E3" s="1453"/>
      <c r="F3" s="1453"/>
      <c r="G3" s="1453"/>
      <c r="H3" s="1453"/>
      <c r="I3" s="1453"/>
      <c r="J3" s="1453"/>
    </row>
    <row r="4" spans="1:13" ht="15.75">
      <c r="A4" s="381" t="s">
        <v>1149</v>
      </c>
      <c r="B4" s="1455"/>
      <c r="C4" s="1455"/>
      <c r="D4" s="1455"/>
      <c r="E4" s="1455"/>
      <c r="F4" s="1455"/>
      <c r="G4" s="1455"/>
      <c r="H4" s="1455"/>
      <c r="I4" s="1455"/>
      <c r="J4" s="1456" t="s">
        <v>374</v>
      </c>
    </row>
    <row r="5" spans="1:13" ht="18" customHeight="1">
      <c r="A5" s="1297" t="s">
        <v>1391</v>
      </c>
      <c r="B5" s="1300" t="s">
        <v>1392</v>
      </c>
      <c r="C5" s="620" t="s">
        <v>1392</v>
      </c>
      <c r="D5" s="620"/>
      <c r="E5" s="620"/>
      <c r="F5" s="620"/>
      <c r="G5" s="620" t="s">
        <v>1672</v>
      </c>
      <c r="H5" s="620"/>
      <c r="I5" s="620"/>
      <c r="J5" s="1302" t="s">
        <v>1393</v>
      </c>
    </row>
    <row r="6" spans="1:13" ht="18" customHeight="1">
      <c r="A6" s="1298"/>
      <c r="B6" s="1301"/>
      <c r="C6" s="889" t="s">
        <v>1394</v>
      </c>
      <c r="D6" s="889" t="s">
        <v>1395</v>
      </c>
      <c r="E6" s="889" t="s">
        <v>1396</v>
      </c>
      <c r="F6" s="952" t="s">
        <v>1397</v>
      </c>
      <c r="G6" s="889" t="s">
        <v>1394</v>
      </c>
      <c r="H6" s="889" t="s">
        <v>1395</v>
      </c>
      <c r="I6" s="889" t="s">
        <v>1396</v>
      </c>
      <c r="J6" s="1303"/>
    </row>
    <row r="7" spans="1:13" ht="18" customHeight="1">
      <c r="A7" s="1299"/>
      <c r="B7" s="1457"/>
      <c r="C7" s="824" t="s">
        <v>243</v>
      </c>
      <c r="D7" s="824" t="s">
        <v>244</v>
      </c>
      <c r="E7" s="824" t="s">
        <v>245</v>
      </c>
      <c r="F7" s="824" t="s">
        <v>242</v>
      </c>
      <c r="G7" s="824" t="s">
        <v>243</v>
      </c>
      <c r="H7" s="824" t="s">
        <v>244</v>
      </c>
      <c r="I7" s="824" t="s">
        <v>245</v>
      </c>
      <c r="J7" s="1304"/>
    </row>
    <row r="8" spans="1:13" s="321" customFormat="1" ht="33" customHeight="1">
      <c r="A8" s="1458" t="s">
        <v>1478</v>
      </c>
      <c r="B8" s="782">
        <f>F8</f>
        <v>10572.700000000004</v>
      </c>
      <c r="C8" s="782">
        <f t="shared" ref="C8:I8" si="0">C9-C14</f>
        <v>10200.099999999999</v>
      </c>
      <c r="D8" s="782">
        <f t="shared" si="0"/>
        <v>10250.299999999996</v>
      </c>
      <c r="E8" s="782">
        <f t="shared" si="0"/>
        <v>10136.599999999999</v>
      </c>
      <c r="F8" s="782">
        <f t="shared" si="0"/>
        <v>10572.700000000004</v>
      </c>
      <c r="G8" s="782">
        <f t="shared" si="0"/>
        <v>10880.900000000001</v>
      </c>
      <c r="H8" s="782">
        <f t="shared" si="0"/>
        <v>10943.599999999999</v>
      </c>
      <c r="I8" s="782">
        <f t="shared" si="0"/>
        <v>11044.899999999994</v>
      </c>
      <c r="J8" s="576" t="s">
        <v>1479</v>
      </c>
    </row>
    <row r="9" spans="1:13" s="321" customFormat="1" ht="30" customHeight="1">
      <c r="A9" s="577" t="s">
        <v>782</v>
      </c>
      <c r="B9" s="578">
        <f t="shared" ref="B9:B17" si="1">F9</f>
        <v>62206.1</v>
      </c>
      <c r="C9" s="578">
        <f t="shared" ref="C9:D9" si="2">SUM(C10:C13)</f>
        <v>58052.6</v>
      </c>
      <c r="D9" s="578">
        <f t="shared" si="2"/>
        <v>59028.1</v>
      </c>
      <c r="E9" s="578">
        <f t="shared" ref="E9:I9" si="3">SUM(E10:E13)</f>
        <v>60037.599999999999</v>
      </c>
      <c r="F9" s="578">
        <f t="shared" si="3"/>
        <v>62206.1</v>
      </c>
      <c r="G9" s="578">
        <f t="shared" si="3"/>
        <v>63716.3</v>
      </c>
      <c r="H9" s="578">
        <f t="shared" si="3"/>
        <v>65067.1</v>
      </c>
      <c r="I9" s="578">
        <f t="shared" si="3"/>
        <v>65969</v>
      </c>
      <c r="J9" s="576" t="s">
        <v>1480</v>
      </c>
    </row>
    <row r="10" spans="1:13" s="321" customFormat="1" ht="22.5" customHeight="1">
      <c r="A10" s="579" t="s">
        <v>1481</v>
      </c>
      <c r="B10" s="580">
        <f t="shared" si="1"/>
        <v>8297.4</v>
      </c>
      <c r="C10" s="580">
        <v>7957.3</v>
      </c>
      <c r="D10" s="580">
        <v>8033.6</v>
      </c>
      <c r="E10" s="580">
        <v>8179.7</v>
      </c>
      <c r="F10" s="580">
        <v>8297.4</v>
      </c>
      <c r="G10" s="580">
        <v>8241</v>
      </c>
      <c r="H10" s="580">
        <v>8278</v>
      </c>
      <c r="I10" s="580">
        <v>8355.1</v>
      </c>
      <c r="J10" s="581" t="s">
        <v>1482</v>
      </c>
      <c r="M10" s="793"/>
    </row>
    <row r="11" spans="1:13" s="321" customFormat="1" ht="22.5" customHeight="1">
      <c r="A11" s="579" t="s">
        <v>1483</v>
      </c>
      <c r="B11" s="580">
        <f t="shared" si="1"/>
        <v>20292.099999999999</v>
      </c>
      <c r="C11" s="580">
        <v>18950.5</v>
      </c>
      <c r="D11" s="580">
        <v>19025.599999999999</v>
      </c>
      <c r="E11" s="580">
        <v>19169.5</v>
      </c>
      <c r="F11" s="580">
        <v>20292.099999999999</v>
      </c>
      <c r="G11" s="580">
        <v>21211.200000000001</v>
      </c>
      <c r="H11" s="580">
        <v>20595.099999999999</v>
      </c>
      <c r="I11" s="580">
        <v>21394.1</v>
      </c>
      <c r="J11" s="581" t="s">
        <v>1484</v>
      </c>
      <c r="M11" s="793"/>
    </row>
    <row r="12" spans="1:13" s="321" customFormat="1" ht="22.5" customHeight="1">
      <c r="A12" s="579" t="s">
        <v>1485</v>
      </c>
      <c r="B12" s="580">
        <f t="shared" si="1"/>
        <v>31805</v>
      </c>
      <c r="C12" s="580">
        <v>29510.799999999999</v>
      </c>
      <c r="D12" s="580">
        <v>29721.3</v>
      </c>
      <c r="E12" s="580">
        <v>30902.5</v>
      </c>
      <c r="F12" s="580">
        <v>31805</v>
      </c>
      <c r="G12" s="580">
        <v>32448.799999999999</v>
      </c>
      <c r="H12" s="580">
        <v>34395.699999999997</v>
      </c>
      <c r="I12" s="580">
        <v>34016.400000000001</v>
      </c>
      <c r="J12" s="581" t="s">
        <v>1486</v>
      </c>
      <c r="M12" s="793"/>
    </row>
    <row r="13" spans="1:13" s="321" customFormat="1" ht="22.5" customHeight="1">
      <c r="A13" s="582" t="s">
        <v>1487</v>
      </c>
      <c r="B13" s="580">
        <f t="shared" si="1"/>
        <v>1811.6</v>
      </c>
      <c r="C13" s="580">
        <v>1634</v>
      </c>
      <c r="D13" s="580">
        <v>2247.6</v>
      </c>
      <c r="E13" s="580">
        <v>1785.9</v>
      </c>
      <c r="F13" s="580">
        <v>1811.6</v>
      </c>
      <c r="G13" s="580">
        <v>1815.3</v>
      </c>
      <c r="H13" s="580">
        <v>1798.3</v>
      </c>
      <c r="I13" s="580">
        <v>2203.4</v>
      </c>
      <c r="J13" s="581" t="s">
        <v>1488</v>
      </c>
      <c r="M13" s="793"/>
    </row>
    <row r="14" spans="1:13" s="321" customFormat="1" ht="30" customHeight="1">
      <c r="A14" s="583" t="s">
        <v>1018</v>
      </c>
      <c r="B14" s="584">
        <f t="shared" si="1"/>
        <v>51633.399999999994</v>
      </c>
      <c r="C14" s="584">
        <f t="shared" ref="C14:I14" si="4">SUM(C15:C17)</f>
        <v>47852.5</v>
      </c>
      <c r="D14" s="584">
        <f t="shared" si="4"/>
        <v>48777.8</v>
      </c>
      <c r="E14" s="584">
        <f t="shared" si="4"/>
        <v>49901</v>
      </c>
      <c r="F14" s="584">
        <f t="shared" si="4"/>
        <v>51633.399999999994</v>
      </c>
      <c r="G14" s="584">
        <f t="shared" si="4"/>
        <v>52835.4</v>
      </c>
      <c r="H14" s="584">
        <f t="shared" si="4"/>
        <v>54123.5</v>
      </c>
      <c r="I14" s="584">
        <f t="shared" si="4"/>
        <v>54924.100000000006</v>
      </c>
      <c r="J14" s="576" t="s">
        <v>1489</v>
      </c>
    </row>
    <row r="15" spans="1:13" s="321" customFormat="1" ht="22.5" customHeight="1">
      <c r="A15" s="582" t="s">
        <v>1490</v>
      </c>
      <c r="B15" s="580">
        <f t="shared" si="1"/>
        <v>16199.7</v>
      </c>
      <c r="C15" s="580">
        <v>14767.2</v>
      </c>
      <c r="D15" s="580">
        <v>15195</v>
      </c>
      <c r="E15" s="580">
        <v>15909.1</v>
      </c>
      <c r="F15" s="580">
        <v>16199.7</v>
      </c>
      <c r="G15" s="580">
        <v>16287.8</v>
      </c>
      <c r="H15" s="580">
        <v>16569.099999999999</v>
      </c>
      <c r="I15" s="580">
        <v>16460.7</v>
      </c>
      <c r="J15" s="581" t="s">
        <v>1491</v>
      </c>
      <c r="M15" s="793"/>
    </row>
    <row r="16" spans="1:13" s="321" customFormat="1" ht="22.5" customHeight="1">
      <c r="A16" s="582" t="s">
        <v>1483</v>
      </c>
      <c r="B16" s="580">
        <f t="shared" si="1"/>
        <v>11702.4</v>
      </c>
      <c r="C16" s="580">
        <v>10462.700000000001</v>
      </c>
      <c r="D16" s="580">
        <v>11214.6</v>
      </c>
      <c r="E16" s="580">
        <v>11024.2</v>
      </c>
      <c r="F16" s="580">
        <v>11702.4</v>
      </c>
      <c r="G16" s="580">
        <v>11845.7</v>
      </c>
      <c r="H16" s="580">
        <v>11851.5</v>
      </c>
      <c r="I16" s="580">
        <v>12417.6</v>
      </c>
      <c r="J16" s="581" t="s">
        <v>1484</v>
      </c>
      <c r="M16" s="793"/>
    </row>
    <row r="17" spans="1:13" s="321" customFormat="1" ht="22.5" customHeight="1">
      <c r="A17" s="579" t="s">
        <v>1485</v>
      </c>
      <c r="B17" s="585">
        <f t="shared" si="1"/>
        <v>23731.3</v>
      </c>
      <c r="C17" s="585">
        <v>22622.6</v>
      </c>
      <c r="D17" s="585">
        <v>22368.2</v>
      </c>
      <c r="E17" s="585">
        <v>22967.7</v>
      </c>
      <c r="F17" s="585">
        <v>23731.3</v>
      </c>
      <c r="G17" s="585">
        <v>24701.9</v>
      </c>
      <c r="H17" s="585">
        <v>25702.9</v>
      </c>
      <c r="I17" s="585">
        <v>26045.8</v>
      </c>
      <c r="J17" s="581" t="s">
        <v>1486</v>
      </c>
      <c r="M17" s="793"/>
    </row>
    <row r="18" spans="1:13" s="381" customFormat="1" ht="20.25" customHeight="1">
      <c r="A18" s="380" t="s">
        <v>1492</v>
      </c>
      <c r="B18" s="586"/>
      <c r="C18" s="586"/>
      <c r="D18" s="586"/>
      <c r="E18" s="586"/>
      <c r="F18" s="586"/>
      <c r="G18" s="586"/>
      <c r="H18" s="586"/>
      <c r="I18" s="586"/>
      <c r="J18" s="587" t="s">
        <v>1493</v>
      </c>
    </row>
    <row r="19" spans="1:13" ht="15.75">
      <c r="B19" s="588"/>
      <c r="C19" s="588"/>
      <c r="D19" s="588"/>
      <c r="E19" s="588"/>
      <c r="F19" s="588"/>
      <c r="G19" s="588"/>
      <c r="H19" s="588"/>
      <c r="I19" s="588"/>
    </row>
    <row r="21" spans="1:13">
      <c r="C21" s="348"/>
      <c r="D21" s="348"/>
      <c r="E21" s="348"/>
      <c r="F21" s="348"/>
      <c r="G21" s="348"/>
      <c r="H21" s="348"/>
      <c r="I21" s="348"/>
    </row>
    <row r="22" spans="1:13">
      <c r="E22" s="381"/>
    </row>
    <row r="26" spans="1:13">
      <c r="A26" s="382" t="s">
        <v>1494</v>
      </c>
      <c r="B26" s="276"/>
      <c r="C26" s="276"/>
      <c r="D26" s="276"/>
      <c r="E26" s="276"/>
      <c r="F26" s="276"/>
      <c r="G26" s="276"/>
      <c r="H26" s="276"/>
      <c r="I26" s="276"/>
      <c r="J26" s="276"/>
    </row>
    <row r="33" s="180" customFormat="1"/>
    <row r="34" s="180" customFormat="1"/>
    <row r="35" s="180" customFormat="1"/>
    <row r="36" s="180" customFormat="1"/>
  </sheetData>
  <mergeCells count="3">
    <mergeCell ref="A5:A7"/>
    <mergeCell ref="B5:B7"/>
    <mergeCell ref="J5:J7"/>
  </mergeCells>
  <printOptions horizontalCentered="1" verticalCentered="1"/>
  <pageMargins left="0.5" right="0.5" top="0" bottom="0" header="0.3" footer="0.3"/>
  <pageSetup paperSize="9"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38" activePane="bottomLeft" state="frozen"/>
      <selection activeCell="B12" sqref="B12"/>
      <selection pane="bottomLeft" activeCell="B12" sqref="B12"/>
    </sheetView>
  </sheetViews>
  <sheetFormatPr defaultRowHeight="12.75"/>
  <cols>
    <col min="1" max="2" width="9.7109375" style="25" customWidth="1"/>
    <col min="3" max="3" width="11" style="25" bestFit="1" customWidth="1"/>
    <col min="4" max="4" width="14.28515625" style="25" customWidth="1"/>
    <col min="5" max="5" width="20.28515625" style="25" bestFit="1" customWidth="1"/>
    <col min="6" max="6" width="21" style="25" bestFit="1" customWidth="1"/>
    <col min="7" max="7" width="16" style="25" customWidth="1"/>
    <col min="8" max="8" width="18" style="25" customWidth="1"/>
    <col min="9" max="9" width="9.28515625" style="1450" customWidth="1"/>
    <col min="10" max="16384" width="9.140625" style="25"/>
  </cols>
  <sheetData>
    <row r="1" spans="1:18" s="23" customFormat="1" ht="18">
      <c r="A1" s="16" t="s">
        <v>1742</v>
      </c>
      <c r="B1" s="4"/>
      <c r="C1" s="4"/>
      <c r="D1" s="4"/>
      <c r="E1" s="4"/>
      <c r="F1" s="4"/>
      <c r="G1" s="4"/>
      <c r="H1" s="4"/>
      <c r="I1" s="1443"/>
    </row>
    <row r="2" spans="1:18" s="23" customFormat="1" ht="18" hidden="1">
      <c r="A2" s="1444" t="s">
        <v>369</v>
      </c>
      <c r="B2" s="4"/>
      <c r="C2" s="4"/>
      <c r="D2" s="4"/>
      <c r="E2" s="4"/>
      <c r="F2" s="4"/>
      <c r="G2" s="4"/>
      <c r="H2" s="4"/>
      <c r="I2" s="1443"/>
    </row>
    <row r="3" spans="1:18" s="23" customFormat="1" ht="19.5" hidden="1">
      <c r="A3" s="1445" t="s">
        <v>370</v>
      </c>
      <c r="B3" s="4"/>
      <c r="C3" s="4"/>
      <c r="D3" s="4"/>
      <c r="E3" s="4"/>
      <c r="F3" s="4"/>
      <c r="G3" s="4"/>
      <c r="H3" s="4"/>
      <c r="I3" s="1443"/>
    </row>
    <row r="4" spans="1:18" s="23" customFormat="1" ht="18">
      <c r="A4" s="1444" t="s">
        <v>1495</v>
      </c>
      <c r="B4" s="4"/>
      <c r="C4" s="4"/>
      <c r="D4" s="4"/>
      <c r="E4" s="4"/>
      <c r="F4" s="4"/>
      <c r="G4" s="4"/>
      <c r="H4" s="4"/>
      <c r="I4" s="1443"/>
    </row>
    <row r="5" spans="1:18" s="23" customFormat="1" ht="19.5">
      <c r="A5" s="1445" t="s">
        <v>105</v>
      </c>
      <c r="B5" s="4"/>
      <c r="C5" s="4"/>
      <c r="D5" s="4"/>
      <c r="E5" s="4"/>
      <c r="F5" s="4"/>
      <c r="G5" s="4"/>
      <c r="H5" s="4"/>
      <c r="I5" s="1443"/>
    </row>
    <row r="6" spans="1:18" s="8" customFormat="1" ht="15">
      <c r="I6" s="234"/>
    </row>
    <row r="7" spans="1:18" s="8" customFormat="1" ht="15">
      <c r="A7" s="1205" t="s">
        <v>373</v>
      </c>
      <c r="B7" s="172"/>
      <c r="C7" s="172"/>
      <c r="D7" s="172"/>
      <c r="E7" s="172"/>
      <c r="F7" s="172"/>
      <c r="G7" s="172"/>
      <c r="H7" s="1446" t="s">
        <v>374</v>
      </c>
      <c r="I7" s="234"/>
    </row>
    <row r="8" spans="1:18" s="34" customFormat="1" ht="18" customHeight="1">
      <c r="A8" s="56"/>
      <c r="C8" s="273" t="s">
        <v>1496</v>
      </c>
      <c r="D8" s="54"/>
      <c r="E8" s="1206" t="s">
        <v>1497</v>
      </c>
      <c r="F8" s="1206"/>
      <c r="G8" s="1207"/>
      <c r="H8" s="1208" t="s">
        <v>1498</v>
      </c>
      <c r="I8" s="240"/>
    </row>
    <row r="9" spans="1:18" s="34" customFormat="1" ht="18" customHeight="1">
      <c r="A9" s="24" t="s">
        <v>383</v>
      </c>
      <c r="B9" s="74"/>
      <c r="C9" s="87" t="s">
        <v>402</v>
      </c>
      <c r="D9" s="88"/>
      <c r="E9" s="61" t="s">
        <v>1499</v>
      </c>
      <c r="F9" s="59" t="s">
        <v>1500</v>
      </c>
      <c r="G9" s="59" t="s">
        <v>1501</v>
      </c>
      <c r="H9" s="313" t="s">
        <v>1502</v>
      </c>
      <c r="I9" s="240"/>
    </row>
    <row r="10" spans="1:18" s="34" customFormat="1" ht="18" customHeight="1">
      <c r="A10" s="82" t="s">
        <v>391</v>
      </c>
      <c r="B10" s="125"/>
      <c r="C10" s="307" t="s">
        <v>1503</v>
      </c>
      <c r="D10" s="59" t="s">
        <v>1504</v>
      </c>
      <c r="E10" s="110" t="s">
        <v>1505</v>
      </c>
      <c r="F10" s="59" t="s">
        <v>1506</v>
      </c>
      <c r="G10" s="202" t="s">
        <v>379</v>
      </c>
      <c r="H10" s="173" t="s">
        <v>397</v>
      </c>
      <c r="I10" s="240"/>
    </row>
    <row r="11" spans="1:18" s="39" customFormat="1" ht="18" customHeight="1">
      <c r="A11" s="97"/>
      <c r="B11" s="60"/>
      <c r="C11" s="126" t="s">
        <v>1507</v>
      </c>
      <c r="D11" s="84" t="s">
        <v>1508</v>
      </c>
      <c r="E11" s="110" t="s">
        <v>1509</v>
      </c>
      <c r="F11" s="110" t="s">
        <v>1510</v>
      </c>
      <c r="G11" s="110" t="s">
        <v>384</v>
      </c>
      <c r="H11" s="173" t="s">
        <v>1511</v>
      </c>
      <c r="I11" s="241"/>
    </row>
    <row r="12" spans="1:18" s="34" customFormat="1" ht="18" customHeight="1">
      <c r="A12" s="65"/>
      <c r="B12" s="66"/>
      <c r="C12" s="207"/>
      <c r="D12" s="89" t="s">
        <v>1512</v>
      </c>
      <c r="E12" s="90" t="s">
        <v>1513</v>
      </c>
      <c r="F12" s="89" t="s">
        <v>1514</v>
      </c>
      <c r="G12" s="1209" t="s">
        <v>959</v>
      </c>
      <c r="H12" s="212" t="s">
        <v>415</v>
      </c>
      <c r="I12" s="242"/>
    </row>
    <row r="13" spans="1:18" s="1058" customFormat="1" ht="21" customHeight="1">
      <c r="A13" s="405">
        <v>2015</v>
      </c>
      <c r="B13" s="1148"/>
      <c r="C13" s="693">
        <v>0.15</v>
      </c>
      <c r="D13" s="693">
        <v>2.5</v>
      </c>
      <c r="E13" s="860">
        <v>67.599999999999994</v>
      </c>
      <c r="F13" s="860">
        <v>37.1</v>
      </c>
      <c r="G13" s="862">
        <v>1168.9000000000001</v>
      </c>
      <c r="H13" s="1139">
        <v>1276.1000000000001</v>
      </c>
      <c r="I13" s="801"/>
      <c r="J13" s="793"/>
      <c r="K13" s="321"/>
      <c r="L13" s="321"/>
      <c r="M13" s="321"/>
      <c r="N13" s="321"/>
      <c r="O13" s="321"/>
      <c r="P13" s="321"/>
      <c r="Q13" s="321"/>
    </row>
    <row r="14" spans="1:18" s="1058" customFormat="1" ht="14.25" customHeight="1">
      <c r="A14" s="1447">
        <v>2016</v>
      </c>
      <c r="B14" s="1148"/>
      <c r="C14" s="693">
        <v>0.15</v>
      </c>
      <c r="D14" s="693">
        <v>2.5</v>
      </c>
      <c r="E14" s="860">
        <v>32.700000000000003</v>
      </c>
      <c r="F14" s="860">
        <v>68.8</v>
      </c>
      <c r="G14" s="862">
        <f>'1'!D14</f>
        <v>815.9</v>
      </c>
      <c r="H14" s="1139">
        <f t="shared" ref="H14:H19" si="0">SUM(D14:G14)</f>
        <v>919.9</v>
      </c>
      <c r="I14" s="801"/>
      <c r="J14" s="321"/>
      <c r="K14" s="321"/>
      <c r="L14" s="321"/>
      <c r="M14" s="321"/>
      <c r="N14" s="321"/>
      <c r="O14" s="321"/>
      <c r="P14" s="321"/>
      <c r="Q14" s="321"/>
      <c r="R14" s="321"/>
    </row>
    <row r="15" spans="1:18" s="1058" customFormat="1" ht="14.25" customHeight="1">
      <c r="A15" s="1447">
        <v>2017</v>
      </c>
      <c r="B15" s="1148"/>
      <c r="C15" s="693">
        <v>0.15</v>
      </c>
      <c r="D15" s="693">
        <v>2.5</v>
      </c>
      <c r="E15" s="860">
        <v>34.5</v>
      </c>
      <c r="F15" s="860">
        <v>70.2</v>
      </c>
      <c r="G15" s="862">
        <f>'1'!D15</f>
        <v>880.6</v>
      </c>
      <c r="H15" s="1139">
        <f t="shared" si="0"/>
        <v>987.80000000000007</v>
      </c>
      <c r="I15" s="801"/>
      <c r="J15" s="321"/>
      <c r="K15" s="321"/>
      <c r="L15" s="321"/>
      <c r="M15" s="321"/>
      <c r="N15" s="321"/>
      <c r="O15" s="321"/>
      <c r="P15" s="321"/>
      <c r="Q15" s="321"/>
      <c r="R15" s="321"/>
    </row>
    <row r="16" spans="1:18" s="321" customFormat="1" ht="14.25" customHeight="1">
      <c r="A16" s="770">
        <v>2018</v>
      </c>
      <c r="B16" s="1138"/>
      <c r="C16" s="693">
        <v>0.15</v>
      </c>
      <c r="D16" s="693">
        <v>2.5</v>
      </c>
      <c r="E16" s="860">
        <v>35.9</v>
      </c>
      <c r="F16" s="860">
        <v>73.2</v>
      </c>
      <c r="G16" s="862">
        <f>'1'!D16</f>
        <v>699.8</v>
      </c>
      <c r="H16" s="1139">
        <f t="shared" si="0"/>
        <v>811.4</v>
      </c>
      <c r="I16" s="801"/>
    </row>
    <row r="17" spans="1:9" s="321" customFormat="1" ht="14.25" customHeight="1">
      <c r="A17" s="770">
        <v>2019</v>
      </c>
      <c r="B17" s="1138"/>
      <c r="C17" s="693">
        <v>0.15</v>
      </c>
      <c r="D17" s="693">
        <v>2.5</v>
      </c>
      <c r="E17" s="860">
        <v>35.6</v>
      </c>
      <c r="F17" s="860">
        <v>72.5</v>
      </c>
      <c r="G17" s="862">
        <f>'1'!D17</f>
        <v>1276.0999999999999</v>
      </c>
      <c r="H17" s="1139">
        <f t="shared" si="0"/>
        <v>1386.6999999999998</v>
      </c>
      <c r="I17" s="801"/>
    </row>
    <row r="18" spans="1:9" s="321" customFormat="1" ht="14.25" customHeight="1">
      <c r="A18" s="770">
        <v>2020</v>
      </c>
      <c r="B18" s="1138"/>
      <c r="C18" s="693">
        <v>0.15</v>
      </c>
      <c r="D18" s="693">
        <v>2.5</v>
      </c>
      <c r="E18" s="860">
        <v>34.4</v>
      </c>
      <c r="F18" s="860">
        <v>70</v>
      </c>
      <c r="G18" s="862">
        <f>'1'!D18</f>
        <v>732</v>
      </c>
      <c r="H18" s="1139">
        <f t="shared" si="0"/>
        <v>838.9</v>
      </c>
      <c r="I18" s="801"/>
    </row>
    <row r="19" spans="1:9" s="321" customFormat="1" ht="14.25" customHeight="1">
      <c r="A19" s="770">
        <v>2021</v>
      </c>
      <c r="B19" s="1138"/>
      <c r="C19" s="693">
        <v>0.15</v>
      </c>
      <c r="D19" s="693">
        <v>2.5</v>
      </c>
      <c r="E19" s="860">
        <v>240.6</v>
      </c>
      <c r="F19" s="860">
        <v>73.5</v>
      </c>
      <c r="G19" s="862">
        <f>'1'!D19</f>
        <v>1468.6</v>
      </c>
      <c r="H19" s="1139">
        <f t="shared" si="0"/>
        <v>1785.1999999999998</v>
      </c>
      <c r="I19" s="801"/>
    </row>
    <row r="20" spans="1:9" s="321" customFormat="1" ht="14.25" customHeight="1">
      <c r="A20" s="770">
        <v>2022</v>
      </c>
      <c r="B20" s="1138"/>
      <c r="C20" s="693">
        <v>0.15</v>
      </c>
      <c r="D20" s="693">
        <v>2.5</v>
      </c>
      <c r="E20" s="860">
        <v>225.6</v>
      </c>
      <c r="F20" s="860">
        <v>68.900000000000006</v>
      </c>
      <c r="G20" s="862">
        <v>1401.6</v>
      </c>
      <c r="H20" s="1139">
        <v>1698.6</v>
      </c>
      <c r="I20" s="801"/>
    </row>
    <row r="21" spans="1:9" s="321" customFormat="1" ht="14.25" customHeight="1">
      <c r="A21" s="770">
        <v>2023</v>
      </c>
      <c r="B21" s="1138"/>
      <c r="C21" s="693">
        <f t="shared" ref="C21:H21" si="1">C26</f>
        <v>0.15</v>
      </c>
      <c r="D21" s="693">
        <f t="shared" si="1"/>
        <v>2.5</v>
      </c>
      <c r="E21" s="860">
        <f t="shared" si="1"/>
        <v>227.4</v>
      </c>
      <c r="F21" s="860">
        <f t="shared" si="1"/>
        <v>69</v>
      </c>
      <c r="G21" s="862">
        <f t="shared" si="1"/>
        <v>1512.7</v>
      </c>
      <c r="H21" s="1139">
        <f t="shared" si="1"/>
        <v>1811.6</v>
      </c>
      <c r="I21" s="801"/>
    </row>
    <row r="22" spans="1:9" s="321" customFormat="1" ht="14.25" customHeight="1">
      <c r="A22" s="930">
        <v>2024</v>
      </c>
      <c r="B22" s="996"/>
      <c r="C22" s="997">
        <f t="shared" ref="C22:H22" si="2">C30</f>
        <v>0.15</v>
      </c>
      <c r="D22" s="997">
        <f t="shared" si="2"/>
        <v>2.5</v>
      </c>
      <c r="E22" s="1315">
        <f t="shared" si="2"/>
        <v>224.1</v>
      </c>
      <c r="F22" s="998">
        <f t="shared" si="2"/>
        <v>67.5</v>
      </c>
      <c r="G22" s="1000">
        <f t="shared" si="2"/>
        <v>1425</v>
      </c>
      <c r="H22" s="1001">
        <f t="shared" si="2"/>
        <v>1719.1</v>
      </c>
      <c r="I22" s="801"/>
    </row>
    <row r="23" spans="1:9" s="321" customFormat="1" ht="21" customHeight="1">
      <c r="A23" s="770">
        <v>2023</v>
      </c>
      <c r="B23" s="1138" t="s">
        <v>243</v>
      </c>
      <c r="C23" s="693">
        <v>0.15</v>
      </c>
      <c r="D23" s="693">
        <v>2.5</v>
      </c>
      <c r="E23" s="860">
        <v>225.79999999999998</v>
      </c>
      <c r="F23" s="860">
        <v>68.900000000000006</v>
      </c>
      <c r="G23" s="862">
        <v>1336.8</v>
      </c>
      <c r="H23" s="1139">
        <v>1634</v>
      </c>
      <c r="I23" s="801"/>
    </row>
    <row r="24" spans="1:9" s="321" customFormat="1" ht="15">
      <c r="A24" s="770"/>
      <c r="B24" s="1138" t="s">
        <v>244</v>
      </c>
      <c r="C24" s="693">
        <v>0.15</v>
      </c>
      <c r="D24" s="693">
        <v>2.5</v>
      </c>
      <c r="E24" s="860">
        <v>226.6</v>
      </c>
      <c r="F24" s="860">
        <v>69</v>
      </c>
      <c r="G24" s="862">
        <v>1949.5</v>
      </c>
      <c r="H24" s="1139">
        <v>2247.6</v>
      </c>
      <c r="I24" s="801"/>
    </row>
    <row r="25" spans="1:9" s="321" customFormat="1" ht="15">
      <c r="A25" s="770"/>
      <c r="B25" s="1138" t="s">
        <v>245</v>
      </c>
      <c r="C25" s="693">
        <v>0.15</v>
      </c>
      <c r="D25" s="693">
        <v>2.5</v>
      </c>
      <c r="E25" s="860">
        <v>227</v>
      </c>
      <c r="F25" s="860">
        <v>69</v>
      </c>
      <c r="G25" s="862">
        <v>1487.4</v>
      </c>
      <c r="H25" s="1139">
        <v>1785.9</v>
      </c>
      <c r="I25" s="801"/>
    </row>
    <row r="26" spans="1:9" s="321" customFormat="1" ht="15">
      <c r="A26" s="770"/>
      <c r="B26" s="1138" t="s">
        <v>242</v>
      </c>
      <c r="C26" s="693">
        <v>0.15</v>
      </c>
      <c r="D26" s="693">
        <v>2.5</v>
      </c>
      <c r="E26" s="860">
        <v>227.4</v>
      </c>
      <c r="F26" s="860">
        <v>69</v>
      </c>
      <c r="G26" s="862">
        <v>1512.7</v>
      </c>
      <c r="H26" s="1139">
        <v>1811.6</v>
      </c>
      <c r="I26" s="801"/>
    </row>
    <row r="27" spans="1:9" s="321" customFormat="1" ht="21" customHeight="1">
      <c r="A27" s="770">
        <v>2024</v>
      </c>
      <c r="B27" s="1138" t="s">
        <v>243</v>
      </c>
      <c r="C27" s="693">
        <f t="shared" ref="C27:H27" si="3">C34</f>
        <v>0.15</v>
      </c>
      <c r="D27" s="693">
        <f t="shared" si="3"/>
        <v>2.5</v>
      </c>
      <c r="E27" s="860">
        <f t="shared" si="3"/>
        <v>227.89360000000002</v>
      </c>
      <c r="F27" s="860">
        <f t="shared" si="3"/>
        <v>68.995999999999995</v>
      </c>
      <c r="G27" s="862">
        <f t="shared" si="3"/>
        <v>1515.9</v>
      </c>
      <c r="H27" s="1139">
        <f t="shared" si="3"/>
        <v>1815.2896000000001</v>
      </c>
      <c r="I27" s="1448"/>
    </row>
    <row r="28" spans="1:9" s="321" customFormat="1" ht="15" customHeight="1">
      <c r="A28" s="770"/>
      <c r="B28" s="1138" t="s">
        <v>244</v>
      </c>
      <c r="C28" s="693">
        <f t="shared" ref="C28:H28" si="4">C37</f>
        <v>0.15</v>
      </c>
      <c r="D28" s="693">
        <f t="shared" si="4"/>
        <v>2.5</v>
      </c>
      <c r="E28" s="860">
        <f t="shared" si="4"/>
        <v>223.3</v>
      </c>
      <c r="F28" s="860">
        <f t="shared" si="4"/>
        <v>67.5</v>
      </c>
      <c r="G28" s="862">
        <f t="shared" si="4"/>
        <v>1505</v>
      </c>
      <c r="H28" s="1139">
        <f t="shared" si="4"/>
        <v>1798.3</v>
      </c>
      <c r="I28" s="1448"/>
    </row>
    <row r="29" spans="1:9" s="321" customFormat="1" ht="15" customHeight="1">
      <c r="A29" s="770"/>
      <c r="B29" s="1138" t="s">
        <v>245</v>
      </c>
      <c r="C29" s="693">
        <f t="shared" ref="C29:H29" si="5">C40</f>
        <v>0.15</v>
      </c>
      <c r="D29" s="693">
        <f t="shared" si="5"/>
        <v>2.5</v>
      </c>
      <c r="E29" s="860">
        <f t="shared" si="5"/>
        <v>223.7</v>
      </c>
      <c r="F29" s="860">
        <f t="shared" si="5"/>
        <v>67.5</v>
      </c>
      <c r="G29" s="862">
        <f t="shared" si="5"/>
        <v>1909.7</v>
      </c>
      <c r="H29" s="1139">
        <f t="shared" si="5"/>
        <v>2203.4</v>
      </c>
      <c r="I29" s="1448"/>
    </row>
    <row r="30" spans="1:9" s="321" customFormat="1" ht="15" customHeight="1">
      <c r="A30" s="930"/>
      <c r="B30" s="996" t="s">
        <v>242</v>
      </c>
      <c r="C30" s="997">
        <f t="shared" ref="C30:H30" si="6">C43</f>
        <v>0.15</v>
      </c>
      <c r="D30" s="997">
        <f t="shared" si="6"/>
        <v>2.5</v>
      </c>
      <c r="E30" s="998">
        <f t="shared" si="6"/>
        <v>224.1</v>
      </c>
      <c r="F30" s="998">
        <f t="shared" si="6"/>
        <v>67.5</v>
      </c>
      <c r="G30" s="1000">
        <f t="shared" si="6"/>
        <v>1425</v>
      </c>
      <c r="H30" s="1001">
        <f t="shared" si="6"/>
        <v>1719.1</v>
      </c>
      <c r="I30" s="1448"/>
    </row>
    <row r="31" spans="1:9" s="321" customFormat="1" ht="21" customHeight="1">
      <c r="A31" s="770">
        <v>2023</v>
      </c>
      <c r="B31" s="771" t="s">
        <v>426</v>
      </c>
      <c r="C31" s="693">
        <v>0.15</v>
      </c>
      <c r="D31" s="693">
        <v>2.5</v>
      </c>
      <c r="E31" s="860">
        <v>227.4</v>
      </c>
      <c r="F31" s="860">
        <v>69</v>
      </c>
      <c r="G31" s="862">
        <v>1512.7</v>
      </c>
      <c r="H31" s="1139">
        <v>1811.6</v>
      </c>
      <c r="I31" s="801"/>
    </row>
    <row r="32" spans="1:9" s="321" customFormat="1" ht="21" customHeight="1">
      <c r="A32" s="770">
        <v>2024</v>
      </c>
      <c r="B32" s="771" t="s">
        <v>427</v>
      </c>
      <c r="C32" s="693">
        <v>0.15</v>
      </c>
      <c r="D32" s="693">
        <f>'1'!C32</f>
        <v>2.5</v>
      </c>
      <c r="E32" s="860">
        <v>227.4</v>
      </c>
      <c r="F32" s="860">
        <v>69</v>
      </c>
      <c r="G32" s="862">
        <f>'1'!D32</f>
        <v>1551.6</v>
      </c>
      <c r="H32" s="1139">
        <f t="shared" ref="H32:H33" si="7">SUM(D32:G32)</f>
        <v>1850.5</v>
      </c>
      <c r="I32" s="801"/>
    </row>
    <row r="33" spans="1:31" s="321" customFormat="1" ht="15">
      <c r="A33" s="770"/>
      <c r="B33" s="771" t="s">
        <v>416</v>
      </c>
      <c r="C33" s="693">
        <v>0.15</v>
      </c>
      <c r="D33" s="693">
        <f>'1'!C33</f>
        <v>2.5</v>
      </c>
      <c r="E33" s="860">
        <v>227.89360000000002</v>
      </c>
      <c r="F33" s="860">
        <v>68.995999999999995</v>
      </c>
      <c r="G33" s="862">
        <f>'1'!D33</f>
        <v>1533.1</v>
      </c>
      <c r="H33" s="1139">
        <f t="shared" si="7"/>
        <v>1832.4895999999999</v>
      </c>
      <c r="I33" s="801"/>
    </row>
    <row r="34" spans="1:31" s="321" customFormat="1" ht="15">
      <c r="A34" s="770"/>
      <c r="B34" s="771" t="s">
        <v>417</v>
      </c>
      <c r="C34" s="693">
        <v>0.15</v>
      </c>
      <c r="D34" s="693">
        <f>'1'!C34</f>
        <v>2.5</v>
      </c>
      <c r="E34" s="860">
        <v>227.89360000000002</v>
      </c>
      <c r="F34" s="860">
        <v>68.995999999999995</v>
      </c>
      <c r="G34" s="862">
        <f>'1'!D34</f>
        <v>1515.9</v>
      </c>
      <c r="H34" s="1139">
        <f t="shared" ref="H34:H39" si="8">SUM(D34:G34)</f>
        <v>1815.2896000000001</v>
      </c>
      <c r="I34" s="801"/>
    </row>
    <row r="35" spans="1:31" s="321" customFormat="1" ht="15">
      <c r="A35" s="770"/>
      <c r="B35" s="771" t="s">
        <v>418</v>
      </c>
      <c r="C35" s="693">
        <v>0.15</v>
      </c>
      <c r="D35" s="693">
        <f>'1'!C35</f>
        <v>2.5</v>
      </c>
      <c r="E35" s="860">
        <v>222.9</v>
      </c>
      <c r="F35" s="860">
        <v>67.5</v>
      </c>
      <c r="G35" s="862">
        <f>'1'!D35</f>
        <v>1369.2</v>
      </c>
      <c r="H35" s="1139">
        <f t="shared" si="8"/>
        <v>1662.1</v>
      </c>
      <c r="I35" s="801"/>
    </row>
    <row r="36" spans="1:31" s="321" customFormat="1" ht="15">
      <c r="A36" s="770"/>
      <c r="B36" s="771" t="s">
        <v>419</v>
      </c>
      <c r="C36" s="693">
        <v>0.15</v>
      </c>
      <c r="D36" s="693">
        <f>'1'!C36</f>
        <v>2.5</v>
      </c>
      <c r="E36" s="860">
        <v>223.3</v>
      </c>
      <c r="F36" s="860">
        <v>67.5</v>
      </c>
      <c r="G36" s="862">
        <f>'1'!D36</f>
        <v>1338.2</v>
      </c>
      <c r="H36" s="1139">
        <f t="shared" si="8"/>
        <v>1631.5</v>
      </c>
      <c r="I36" s="801"/>
    </row>
    <row r="37" spans="1:31" s="321" customFormat="1" ht="15">
      <c r="A37" s="770"/>
      <c r="B37" s="771" t="s">
        <v>420</v>
      </c>
      <c r="C37" s="693">
        <v>0.15</v>
      </c>
      <c r="D37" s="693">
        <f>'1'!C37</f>
        <v>2.5</v>
      </c>
      <c r="E37" s="860">
        <v>223.3</v>
      </c>
      <c r="F37" s="860">
        <v>67.5</v>
      </c>
      <c r="G37" s="862">
        <f>'1'!D37</f>
        <v>1505</v>
      </c>
      <c r="H37" s="1139">
        <f t="shared" si="8"/>
        <v>1798.3</v>
      </c>
      <c r="I37" s="801"/>
    </row>
    <row r="38" spans="1:31" s="321" customFormat="1" ht="15">
      <c r="A38" s="770"/>
      <c r="B38" s="771" t="s">
        <v>421</v>
      </c>
      <c r="C38" s="693">
        <v>0.15</v>
      </c>
      <c r="D38" s="693">
        <f>'1'!C38</f>
        <v>2.5</v>
      </c>
      <c r="E38" s="860">
        <v>223.3</v>
      </c>
      <c r="F38" s="860">
        <v>67.5</v>
      </c>
      <c r="G38" s="862">
        <f>'1'!D38</f>
        <v>1478.3</v>
      </c>
      <c r="H38" s="1139">
        <f t="shared" si="8"/>
        <v>1771.6</v>
      </c>
      <c r="I38" s="801"/>
    </row>
    <row r="39" spans="1:31" s="321" customFormat="1" ht="15">
      <c r="A39" s="770"/>
      <c r="B39" s="771" t="s">
        <v>422</v>
      </c>
      <c r="C39" s="693">
        <v>0.15</v>
      </c>
      <c r="D39" s="693">
        <f>'1'!C39</f>
        <v>2.5</v>
      </c>
      <c r="E39" s="860">
        <v>223.7</v>
      </c>
      <c r="F39" s="860">
        <v>67.5</v>
      </c>
      <c r="G39" s="862">
        <f>'1'!D39</f>
        <v>1621.5</v>
      </c>
      <c r="H39" s="1139">
        <f t="shared" si="8"/>
        <v>1915.2</v>
      </c>
      <c r="I39" s="801"/>
    </row>
    <row r="40" spans="1:31" s="321" customFormat="1" ht="15">
      <c r="A40" s="770"/>
      <c r="B40" s="771" t="s">
        <v>423</v>
      </c>
      <c r="C40" s="693">
        <v>0.15</v>
      </c>
      <c r="D40" s="693">
        <f>'1'!C40</f>
        <v>2.5</v>
      </c>
      <c r="E40" s="860">
        <v>223.7</v>
      </c>
      <c r="F40" s="860">
        <v>67.5</v>
      </c>
      <c r="G40" s="862">
        <f>'1'!D40</f>
        <v>1909.7</v>
      </c>
      <c r="H40" s="1139">
        <f t="shared" ref="H40" si="9">SUM(D40:G40)</f>
        <v>2203.4</v>
      </c>
      <c r="I40" s="801"/>
    </row>
    <row r="41" spans="1:31" s="321" customFormat="1" ht="15">
      <c r="A41" s="770"/>
      <c r="B41" s="771" t="s">
        <v>424</v>
      </c>
      <c r="C41" s="693">
        <v>0.15</v>
      </c>
      <c r="D41" s="693">
        <f>'1'!C41</f>
        <v>2.5</v>
      </c>
      <c r="E41" s="860">
        <v>223.7</v>
      </c>
      <c r="F41" s="860">
        <v>67.5</v>
      </c>
      <c r="G41" s="862">
        <f>'1'!D41</f>
        <v>1592.2</v>
      </c>
      <c r="H41" s="1139">
        <f t="shared" ref="H41" si="10">SUM(D41:G41)</f>
        <v>1885.9</v>
      </c>
      <c r="I41" s="801"/>
    </row>
    <row r="42" spans="1:31" s="321" customFormat="1" ht="15">
      <c r="A42" s="770"/>
      <c r="B42" s="771" t="s">
        <v>425</v>
      </c>
      <c r="C42" s="693">
        <v>0.15</v>
      </c>
      <c r="D42" s="693">
        <f>'1'!C42</f>
        <v>2.5</v>
      </c>
      <c r="E42" s="860">
        <v>224.1</v>
      </c>
      <c r="F42" s="860">
        <v>67.5</v>
      </c>
      <c r="G42" s="862">
        <f>'1'!D42</f>
        <v>1241.7</v>
      </c>
      <c r="H42" s="1139">
        <f t="shared" ref="H42" si="11">SUM(D42:G42)</f>
        <v>1535.8000000000002</v>
      </c>
      <c r="I42" s="801"/>
    </row>
    <row r="43" spans="1:31" s="321" customFormat="1" ht="15">
      <c r="A43" s="770"/>
      <c r="B43" s="771" t="s">
        <v>426</v>
      </c>
      <c r="C43" s="693">
        <v>0.15</v>
      </c>
      <c r="D43" s="693">
        <f>'1'!C43</f>
        <v>2.5</v>
      </c>
      <c r="E43" s="1233">
        <v>224.1</v>
      </c>
      <c r="F43" s="1233">
        <v>67.5</v>
      </c>
      <c r="G43" s="862">
        <f>'1'!D43</f>
        <v>1425</v>
      </c>
      <c r="H43" s="1139">
        <f t="shared" ref="H43" si="12">SUM(D43:G43)</f>
        <v>1719.1</v>
      </c>
      <c r="I43" s="801"/>
    </row>
    <row r="44" spans="1:31" s="321" customFormat="1" ht="15">
      <c r="A44" s="567"/>
      <c r="B44" s="567"/>
      <c r="C44" s="220"/>
      <c r="D44" s="220"/>
      <c r="E44" s="220"/>
      <c r="F44" s="1449"/>
      <c r="G44" s="220"/>
      <c r="H44" s="220" t="s">
        <v>119</v>
      </c>
      <c r="I44" s="1450"/>
      <c r="J44" s="25"/>
      <c r="K44" s="25"/>
      <c r="L44" s="25"/>
      <c r="M44" s="25"/>
      <c r="N44" s="25"/>
      <c r="O44" s="25"/>
      <c r="P44" s="25"/>
      <c r="Q44" s="25"/>
      <c r="R44" s="25"/>
      <c r="S44" s="25"/>
      <c r="T44" s="25"/>
      <c r="U44" s="25"/>
      <c r="V44" s="25"/>
      <c r="W44" s="25"/>
      <c r="X44" s="25"/>
      <c r="Y44" s="25"/>
      <c r="Z44" s="25"/>
      <c r="AA44" s="25"/>
      <c r="AB44" s="25"/>
      <c r="AC44" s="25"/>
      <c r="AD44" s="25"/>
      <c r="AE44" s="25"/>
    </row>
    <row r="45" spans="1:31" ht="12.75" customHeight="1"/>
    <row r="46" spans="1:31" ht="14.25">
      <c r="A46" s="318" t="s">
        <v>1515</v>
      </c>
      <c r="B46" s="3"/>
      <c r="C46" s="3"/>
      <c r="D46" s="3"/>
      <c r="E46" s="3"/>
      <c r="F46" s="3"/>
      <c r="G46" s="3"/>
      <c r="H46" s="3"/>
    </row>
    <row r="50" spans="3:9">
      <c r="C50" s="1451"/>
      <c r="D50" s="1451"/>
      <c r="E50" s="1451"/>
      <c r="F50" s="1451"/>
      <c r="G50" s="1451"/>
      <c r="H50" s="1451"/>
      <c r="I50" s="25"/>
    </row>
  </sheetData>
  <printOptions horizontalCentered="1" verticalCentered="1"/>
  <pageMargins left="0" right="0" top="0" bottom="0" header="0.51181102362204722" footer="0.51181102362204722"/>
  <pageSetup paperSize="9" scale="77"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18" activePane="bottomLeft" state="frozen"/>
      <selection activeCell="B12" sqref="B12"/>
      <selection pane="bottomLeft" activeCell="B12" sqref="B12"/>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1740</v>
      </c>
      <c r="B1" s="831"/>
      <c r="C1" s="831"/>
      <c r="D1" s="831"/>
      <c r="E1" s="831"/>
      <c r="F1" s="831"/>
      <c r="G1" s="831"/>
      <c r="H1" s="831"/>
      <c r="I1" s="831"/>
      <c r="J1" s="831"/>
      <c r="K1" s="831"/>
      <c r="L1" s="831"/>
    </row>
    <row r="2" spans="1:21" ht="18" customHeight="1">
      <c r="A2" s="831" t="s">
        <v>1516</v>
      </c>
      <c r="B2" s="831"/>
      <c r="C2" s="831"/>
      <c r="D2" s="831"/>
      <c r="E2" s="831"/>
      <c r="F2" s="831"/>
      <c r="G2" s="831"/>
      <c r="H2" s="831"/>
      <c r="I2" s="831"/>
      <c r="J2" s="831"/>
      <c r="K2" s="831"/>
      <c r="L2" s="831"/>
    </row>
    <row r="3" spans="1:21" ht="15.95" customHeight="1">
      <c r="A3" s="832" t="s">
        <v>1517</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1518</v>
      </c>
      <c r="D8" s="486" t="s">
        <v>1519</v>
      </c>
      <c r="E8" s="486" t="s">
        <v>1520</v>
      </c>
      <c r="F8" s="486" t="s">
        <v>1521</v>
      </c>
      <c r="G8" s="884" t="s">
        <v>1522</v>
      </c>
      <c r="H8" s="884" t="s">
        <v>1523</v>
      </c>
      <c r="I8" s="883" t="s">
        <v>1524</v>
      </c>
      <c r="J8" s="486"/>
      <c r="K8" s="486"/>
      <c r="L8" s="486" t="s">
        <v>1525</v>
      </c>
    </row>
    <row r="9" spans="1:21" s="487" customFormat="1" ht="14.25" customHeight="1">
      <c r="A9" s="878"/>
      <c r="B9" s="879"/>
      <c r="C9" s="488" t="s">
        <v>1526</v>
      </c>
      <c r="D9" s="488" t="s">
        <v>1527</v>
      </c>
      <c r="E9" s="488" t="s">
        <v>1528</v>
      </c>
      <c r="F9" s="488" t="s">
        <v>1529</v>
      </c>
      <c r="G9" s="881" t="s">
        <v>1530</v>
      </c>
      <c r="H9" s="881" t="s">
        <v>1530</v>
      </c>
      <c r="I9" s="880" t="s">
        <v>1531</v>
      </c>
      <c r="J9" s="489" t="s">
        <v>1532</v>
      </c>
      <c r="K9" s="489" t="s">
        <v>1533</v>
      </c>
      <c r="L9" s="489" t="s">
        <v>1534</v>
      </c>
    </row>
    <row r="10" spans="1:21" s="487" customFormat="1" ht="15">
      <c r="A10" s="490" t="s">
        <v>1535</v>
      </c>
      <c r="B10" s="491"/>
      <c r="C10" s="492" t="s">
        <v>1536</v>
      </c>
      <c r="D10" s="492" t="s">
        <v>1537</v>
      </c>
      <c r="E10" s="492" t="s">
        <v>1538</v>
      </c>
      <c r="F10" s="492" t="s">
        <v>1536</v>
      </c>
      <c r="G10" s="493" t="s">
        <v>932</v>
      </c>
      <c r="H10" s="493" t="s">
        <v>1539</v>
      </c>
      <c r="I10" s="494" t="s">
        <v>1540</v>
      </c>
      <c r="J10" s="492" t="s">
        <v>1541</v>
      </c>
      <c r="L10" s="492" t="s">
        <v>1542</v>
      </c>
    </row>
    <row r="11" spans="1:21" s="487" customFormat="1" ht="15">
      <c r="A11" s="490" t="s">
        <v>1543</v>
      </c>
      <c r="B11" s="491"/>
      <c r="C11" s="492" t="s">
        <v>1544</v>
      </c>
      <c r="D11" s="492" t="s">
        <v>1545</v>
      </c>
      <c r="E11" s="492" t="s">
        <v>1546</v>
      </c>
      <c r="F11" s="492" t="s">
        <v>1547</v>
      </c>
      <c r="G11" s="493" t="s">
        <v>1548</v>
      </c>
      <c r="H11" s="493" t="s">
        <v>1549</v>
      </c>
      <c r="I11" s="494" t="s">
        <v>1550</v>
      </c>
      <c r="J11" s="492" t="s">
        <v>1551</v>
      </c>
      <c r="K11" s="492" t="s">
        <v>1552</v>
      </c>
      <c r="L11" s="492" t="s">
        <v>1553</v>
      </c>
    </row>
    <row r="12" spans="1:21" s="501" customFormat="1" ht="15">
      <c r="A12" s="495"/>
      <c r="B12" s="496"/>
      <c r="C12" s="497" t="s">
        <v>1554</v>
      </c>
      <c r="D12" s="498" t="s">
        <v>1555</v>
      </c>
      <c r="E12" s="497" t="s">
        <v>1556</v>
      </c>
      <c r="F12" s="499"/>
      <c r="G12" s="658" t="s">
        <v>1557</v>
      </c>
      <c r="H12" s="497" t="s">
        <v>1557</v>
      </c>
      <c r="I12" s="500" t="s">
        <v>1558</v>
      </c>
      <c r="J12" s="498" t="s">
        <v>715</v>
      </c>
      <c r="K12" s="498"/>
      <c r="L12" s="498"/>
    </row>
    <row r="13" spans="1:21" s="487" customFormat="1" ht="20.25" customHeight="1">
      <c r="A13" s="405">
        <v>2015</v>
      </c>
      <c r="B13" s="502"/>
      <c r="C13" s="503">
        <v>46</v>
      </c>
      <c r="D13" s="504">
        <v>515561</v>
      </c>
      <c r="E13" s="505">
        <v>109975</v>
      </c>
      <c r="F13" s="506">
        <v>11248</v>
      </c>
      <c r="G13" s="515" t="s">
        <v>1559</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1559</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1559</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1560</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1560</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1560</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1560</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1560</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1560</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C30</f>
        <v>41</v>
      </c>
      <c r="D22" s="775">
        <f>SUM(D27:D30)</f>
        <v>1483917</v>
      </c>
      <c r="E22" s="1314">
        <f>SUM(E27:E30)</f>
        <v>319799</v>
      </c>
      <c r="F22" s="775">
        <f>SUM(F27:F30)</f>
        <v>17014</v>
      </c>
      <c r="G22" s="777" t="s">
        <v>1560</v>
      </c>
      <c r="H22" s="777">
        <f>H30</f>
        <v>1985.91</v>
      </c>
      <c r="I22" s="778">
        <f>I30</f>
        <v>7693.68</v>
      </c>
      <c r="J22" s="779">
        <v>3.84</v>
      </c>
      <c r="K22" s="734">
        <v>11.36</v>
      </c>
      <c r="L22" s="734">
        <v>4.7</v>
      </c>
      <c r="M22" s="845"/>
      <c r="N22" s="846"/>
      <c r="O22" s="846"/>
      <c r="P22" s="846"/>
      <c r="Q22" s="846"/>
      <c r="R22" s="846"/>
      <c r="S22" s="846"/>
      <c r="T22" s="846"/>
      <c r="U22" s="846"/>
    </row>
    <row r="23" spans="1:21" s="487" customFormat="1" ht="21" customHeight="1">
      <c r="A23" s="405">
        <v>2023</v>
      </c>
      <c r="B23" s="516" t="s">
        <v>243</v>
      </c>
      <c r="C23" s="511">
        <v>43</v>
      </c>
      <c r="D23" s="506">
        <v>247196</v>
      </c>
      <c r="E23" s="512">
        <v>65039</v>
      </c>
      <c r="F23" s="506">
        <v>4677</v>
      </c>
      <c r="G23" s="508" t="s">
        <v>1560</v>
      </c>
      <c r="H23" s="508">
        <v>1886.61</v>
      </c>
      <c r="I23" s="507">
        <v>11355.54</v>
      </c>
      <c r="J23" s="574">
        <v>0.49</v>
      </c>
      <c r="K23" s="513">
        <v>9.6199999999999992</v>
      </c>
      <c r="L23" s="513">
        <v>4.72</v>
      </c>
      <c r="M23" s="845"/>
      <c r="N23" s="846"/>
      <c r="O23" s="846"/>
      <c r="P23" s="846"/>
      <c r="Q23" s="846"/>
      <c r="R23" s="846"/>
      <c r="S23" s="846"/>
      <c r="T23" s="846"/>
      <c r="U23" s="846"/>
    </row>
    <row r="24" spans="1:21" s="487" customFormat="1" ht="15">
      <c r="A24" s="405"/>
      <c r="B24" s="516" t="s">
        <v>244</v>
      </c>
      <c r="C24" s="511">
        <v>42</v>
      </c>
      <c r="D24" s="506">
        <v>194605</v>
      </c>
      <c r="E24" s="512">
        <v>54267</v>
      </c>
      <c r="F24" s="506">
        <v>5176</v>
      </c>
      <c r="G24" s="508" t="s">
        <v>1560</v>
      </c>
      <c r="H24" s="508">
        <v>1957.87</v>
      </c>
      <c r="I24" s="507">
        <v>7687.72</v>
      </c>
      <c r="J24" s="574">
        <v>0.43</v>
      </c>
      <c r="K24" s="513">
        <v>7.67</v>
      </c>
      <c r="L24" s="513">
        <v>5.62</v>
      </c>
      <c r="M24" s="845"/>
      <c r="N24" s="846"/>
      <c r="O24" s="846"/>
      <c r="P24" s="846"/>
      <c r="Q24" s="846"/>
      <c r="R24" s="846"/>
      <c r="S24" s="846"/>
      <c r="T24" s="846"/>
      <c r="U24" s="846"/>
    </row>
    <row r="25" spans="1:21" s="487" customFormat="1" ht="15">
      <c r="A25" s="405"/>
      <c r="B25" s="516" t="s">
        <v>245</v>
      </c>
      <c r="C25" s="1203">
        <v>42</v>
      </c>
      <c r="D25" s="506">
        <v>149188</v>
      </c>
      <c r="E25" s="1133">
        <v>40720</v>
      </c>
      <c r="F25" s="506">
        <v>4196</v>
      </c>
      <c r="G25" s="508" t="s">
        <v>1560</v>
      </c>
      <c r="H25" s="508">
        <v>1939.13</v>
      </c>
      <c r="I25" s="507">
        <v>7614.94</v>
      </c>
      <c r="J25" s="574">
        <v>0.49</v>
      </c>
      <c r="K25" s="513">
        <v>7.65</v>
      </c>
      <c r="L25" s="513">
        <v>5.67</v>
      </c>
      <c r="M25" s="845"/>
      <c r="N25" s="846"/>
      <c r="O25" s="846"/>
      <c r="P25" s="846"/>
      <c r="Q25" s="846"/>
      <c r="R25" s="846"/>
      <c r="S25" s="846"/>
      <c r="T25" s="846"/>
      <c r="U25" s="846"/>
    </row>
    <row r="26" spans="1:21" s="487" customFormat="1" ht="15">
      <c r="A26" s="405"/>
      <c r="B26" s="516" t="s">
        <v>242</v>
      </c>
      <c r="C26" s="511">
        <v>42</v>
      </c>
      <c r="D26" s="506">
        <v>189713</v>
      </c>
      <c r="E26" s="512">
        <v>50213</v>
      </c>
      <c r="F26" s="506">
        <v>3681</v>
      </c>
      <c r="G26" s="508" t="s">
        <v>1560</v>
      </c>
      <c r="H26" s="508">
        <v>1971.49</v>
      </c>
      <c r="I26" s="507">
        <v>7768.57</v>
      </c>
      <c r="J26" s="574">
        <v>0.62</v>
      </c>
      <c r="K26" s="513">
        <v>7.81</v>
      </c>
      <c r="L26" s="513">
        <v>5.56</v>
      </c>
      <c r="M26" s="845"/>
      <c r="N26" s="846"/>
      <c r="O26" s="846"/>
      <c r="P26" s="846"/>
      <c r="Q26" s="846"/>
      <c r="R26" s="846"/>
      <c r="S26" s="846"/>
      <c r="T26" s="846"/>
      <c r="U26" s="846"/>
    </row>
    <row r="27" spans="1:21" s="487" customFormat="1" ht="21" customHeight="1">
      <c r="A27" s="405">
        <v>2024</v>
      </c>
      <c r="B27" s="516" t="s">
        <v>243</v>
      </c>
      <c r="C27" s="511">
        <f>C34</f>
        <v>42</v>
      </c>
      <c r="D27" s="506">
        <f>SUM(D32:D34)</f>
        <v>414003</v>
      </c>
      <c r="E27" s="512">
        <f>SUM(E32:E34)</f>
        <v>84967</v>
      </c>
      <c r="F27" s="506">
        <f>SUM(F32:F34)</f>
        <v>5358</v>
      </c>
      <c r="G27" s="508" t="s">
        <v>1560</v>
      </c>
      <c r="H27" s="508">
        <f>H34</f>
        <v>2042.67</v>
      </c>
      <c r="I27" s="507">
        <f>I34</f>
        <v>8074.55</v>
      </c>
      <c r="J27" s="574">
        <v>1.02</v>
      </c>
      <c r="K27" s="513">
        <f>K34</f>
        <v>10.97</v>
      </c>
      <c r="L27" s="513">
        <v>4.55</v>
      </c>
      <c r="M27" s="845"/>
      <c r="N27" s="846"/>
      <c r="O27" s="846"/>
      <c r="P27" s="846"/>
      <c r="Q27" s="846"/>
      <c r="R27" s="846"/>
      <c r="S27" s="846"/>
      <c r="T27" s="846"/>
      <c r="U27" s="846"/>
    </row>
    <row r="28" spans="1:21" s="487" customFormat="1" ht="15" customHeight="1">
      <c r="A28" s="405"/>
      <c r="B28" s="516" t="s">
        <v>244</v>
      </c>
      <c r="C28" s="511">
        <f>C37</f>
        <v>42</v>
      </c>
      <c r="D28" s="506">
        <f>SUM(D35:D37)</f>
        <v>482312</v>
      </c>
      <c r="E28" s="512">
        <f>SUM(E35:E37)</f>
        <v>72353</v>
      </c>
      <c r="F28" s="506">
        <f>SUM(F35:F37)</f>
        <v>4213</v>
      </c>
      <c r="G28" s="508" t="s">
        <v>1560</v>
      </c>
      <c r="H28" s="508">
        <f>H37</f>
        <v>2025.49</v>
      </c>
      <c r="I28" s="507">
        <f>I37</f>
        <v>8005.47</v>
      </c>
      <c r="J28" s="574">
        <v>0.85</v>
      </c>
      <c r="K28" s="513">
        <f>K37</f>
        <v>10.85</v>
      </c>
      <c r="L28" s="513">
        <v>4.59</v>
      </c>
      <c r="M28" s="845"/>
      <c r="N28" s="846"/>
      <c r="O28" s="846"/>
      <c r="P28" s="846"/>
      <c r="Q28" s="846"/>
      <c r="R28" s="846"/>
      <c r="S28" s="846"/>
      <c r="T28" s="846"/>
      <c r="U28" s="846"/>
    </row>
    <row r="29" spans="1:21" s="487" customFormat="1" ht="15" customHeight="1">
      <c r="A29" s="405"/>
      <c r="B29" s="516" t="s">
        <v>245</v>
      </c>
      <c r="C29" s="511">
        <f>C40</f>
        <v>40</v>
      </c>
      <c r="D29" s="506">
        <f>SUM(D38:D40)</f>
        <v>502684</v>
      </c>
      <c r="E29" s="512">
        <f>SUM(E38:E40)</f>
        <v>117643</v>
      </c>
      <c r="F29" s="506">
        <f>SUM(F38:F40)</f>
        <v>4280</v>
      </c>
      <c r="G29" s="508" t="s">
        <v>1560</v>
      </c>
      <c r="H29" s="508">
        <f>H40</f>
        <v>2012.77</v>
      </c>
      <c r="I29" s="507">
        <f>I40</f>
        <v>7797.73</v>
      </c>
      <c r="J29" s="574">
        <v>1.38</v>
      </c>
      <c r="K29" s="513">
        <f>K40</f>
        <v>11.53</v>
      </c>
      <c r="L29" s="513">
        <v>4.6500000000000004</v>
      </c>
      <c r="M29" s="845"/>
      <c r="N29" s="846"/>
      <c r="O29" s="846"/>
      <c r="P29" s="846"/>
      <c r="Q29" s="846"/>
      <c r="R29" s="846"/>
      <c r="S29" s="846"/>
      <c r="T29" s="846"/>
      <c r="U29" s="846"/>
    </row>
    <row r="30" spans="1:21" s="487" customFormat="1" ht="15" customHeight="1">
      <c r="A30" s="732"/>
      <c r="B30" s="773" t="s">
        <v>242</v>
      </c>
      <c r="C30" s="774">
        <f>C43</f>
        <v>41</v>
      </c>
      <c r="D30" s="775">
        <f>SUM(D41:D43)</f>
        <v>84918</v>
      </c>
      <c r="E30" s="776">
        <f>SUM(E41:E43)</f>
        <v>44836</v>
      </c>
      <c r="F30" s="775">
        <f>SUM(F41:F43)</f>
        <v>3163</v>
      </c>
      <c r="G30" s="777" t="s">
        <v>1560</v>
      </c>
      <c r="H30" s="777">
        <f>H43</f>
        <v>1985.91</v>
      </c>
      <c r="I30" s="778">
        <f>I43</f>
        <v>7693.68</v>
      </c>
      <c r="J30" s="779">
        <v>0.55000000000000004</v>
      </c>
      <c r="K30" s="734">
        <f>K43</f>
        <v>11.38</v>
      </c>
      <c r="L30" s="734">
        <v>4.7</v>
      </c>
      <c r="M30" s="845"/>
      <c r="N30" s="846"/>
      <c r="O30" s="846"/>
      <c r="P30" s="846"/>
      <c r="Q30" s="846"/>
      <c r="R30" s="846"/>
      <c r="S30" s="846"/>
      <c r="T30" s="846"/>
      <c r="U30" s="846"/>
    </row>
    <row r="31" spans="1:21" s="846" customFormat="1" ht="21" customHeight="1">
      <c r="A31" s="770">
        <v>2023</v>
      </c>
      <c r="B31" s="771" t="s">
        <v>426</v>
      </c>
      <c r="C31" s="1219">
        <v>42</v>
      </c>
      <c r="D31" s="867">
        <v>115739</v>
      </c>
      <c r="E31" s="1220">
        <v>23667</v>
      </c>
      <c r="F31" s="867">
        <v>1201</v>
      </c>
      <c r="G31" s="830" t="s">
        <v>1560</v>
      </c>
      <c r="H31" s="1222">
        <v>1971.49</v>
      </c>
      <c r="I31" s="1223">
        <v>7768.57</v>
      </c>
      <c r="J31" s="1224">
        <v>0.3</v>
      </c>
      <c r="K31" s="1225">
        <v>7.81</v>
      </c>
      <c r="L31" s="1225">
        <v>5.67</v>
      </c>
    </row>
    <row r="32" spans="1:21" s="846" customFormat="1" ht="21" customHeight="1">
      <c r="A32" s="770">
        <v>2024</v>
      </c>
      <c r="B32" s="771" t="s">
        <v>427</v>
      </c>
      <c r="C32" s="1219">
        <v>42</v>
      </c>
      <c r="D32" s="867">
        <v>47641</v>
      </c>
      <c r="E32" s="1220">
        <v>23688</v>
      </c>
      <c r="F32" s="867">
        <v>1719</v>
      </c>
      <c r="G32" s="830" t="s">
        <v>1560</v>
      </c>
      <c r="H32" s="1222">
        <v>2067.17</v>
      </c>
      <c r="I32" s="1223">
        <v>8145.6</v>
      </c>
      <c r="J32" s="1224">
        <v>0.27</v>
      </c>
      <c r="K32" s="1225">
        <v>8.23</v>
      </c>
      <c r="L32" s="1225">
        <v>5.4</v>
      </c>
    </row>
    <row r="33" spans="1:12" s="846" customFormat="1" ht="17.25" customHeight="1">
      <c r="A33" s="770"/>
      <c r="B33" s="771" t="s">
        <v>416</v>
      </c>
      <c r="C33" s="1219">
        <v>42</v>
      </c>
      <c r="D33" s="867">
        <v>28360</v>
      </c>
      <c r="E33" s="1220">
        <v>14248</v>
      </c>
      <c r="F33" s="867">
        <v>1998</v>
      </c>
      <c r="G33" s="830" t="s">
        <v>1560</v>
      </c>
      <c r="H33" s="1222">
        <v>2005.42</v>
      </c>
      <c r="I33" s="1223">
        <v>7902.24</v>
      </c>
      <c r="J33" s="1224">
        <v>0.17</v>
      </c>
      <c r="K33" s="1225">
        <v>10.89</v>
      </c>
      <c r="L33" s="1225">
        <v>4.25</v>
      </c>
    </row>
    <row r="34" spans="1:12" s="846" customFormat="1" ht="17.25" customHeight="1">
      <c r="A34" s="770"/>
      <c r="B34" s="771" t="s">
        <v>417</v>
      </c>
      <c r="C34" s="1219">
        <v>42</v>
      </c>
      <c r="D34" s="867">
        <v>338002</v>
      </c>
      <c r="E34" s="1220">
        <v>47031</v>
      </c>
      <c r="F34" s="867">
        <v>1641</v>
      </c>
      <c r="G34" s="830" t="s">
        <v>1560</v>
      </c>
      <c r="H34" s="1222">
        <v>2042.67</v>
      </c>
      <c r="I34" s="1223">
        <v>8074.55</v>
      </c>
      <c r="J34" s="1224">
        <v>0.57999999999999996</v>
      </c>
      <c r="K34" s="1225">
        <v>10.97</v>
      </c>
      <c r="L34" s="1225">
        <v>4.58</v>
      </c>
    </row>
    <row r="35" spans="1:12" s="846" customFormat="1" ht="17.25" customHeight="1">
      <c r="A35" s="770"/>
      <c r="B35" s="771" t="s">
        <v>418</v>
      </c>
      <c r="C35" s="1219">
        <v>42</v>
      </c>
      <c r="D35" s="867">
        <v>186123</v>
      </c>
      <c r="E35" s="1220">
        <v>25136</v>
      </c>
      <c r="F35" s="867">
        <v>1551</v>
      </c>
      <c r="G35" s="830" t="s">
        <v>1560</v>
      </c>
      <c r="H35" s="1222">
        <v>2029.06</v>
      </c>
      <c r="I35" s="1223">
        <v>8019.55</v>
      </c>
      <c r="J35" s="1224">
        <v>0.3</v>
      </c>
      <c r="K35" s="1225">
        <v>10.86</v>
      </c>
      <c r="L35" s="1225">
        <v>4.62</v>
      </c>
    </row>
    <row r="36" spans="1:12" s="846" customFormat="1" ht="17.25" customHeight="1">
      <c r="A36" s="770"/>
      <c r="B36" s="771" t="s">
        <v>419</v>
      </c>
      <c r="C36" s="1219">
        <v>42</v>
      </c>
      <c r="D36" s="867">
        <v>267676</v>
      </c>
      <c r="E36" s="1220">
        <v>39179</v>
      </c>
      <c r="F36" s="867">
        <v>1495</v>
      </c>
      <c r="G36" s="830" t="s">
        <v>1560</v>
      </c>
      <c r="H36" s="1222">
        <v>2039.03</v>
      </c>
      <c r="I36" s="1223">
        <v>8058.99</v>
      </c>
      <c r="J36" s="1224">
        <v>0.46</v>
      </c>
      <c r="K36" s="1225">
        <v>10.92</v>
      </c>
      <c r="L36" s="1225">
        <v>4.5999999999999996</v>
      </c>
    </row>
    <row r="37" spans="1:12" s="846" customFormat="1" ht="17.25" customHeight="1">
      <c r="A37" s="770"/>
      <c r="B37" s="771" t="s">
        <v>420</v>
      </c>
      <c r="C37" s="1219">
        <v>42</v>
      </c>
      <c r="D37" s="867">
        <v>28513</v>
      </c>
      <c r="E37" s="1220">
        <v>8038</v>
      </c>
      <c r="F37" s="867">
        <v>1167</v>
      </c>
      <c r="G37" s="830" t="s">
        <v>1560</v>
      </c>
      <c r="H37" s="1222">
        <v>2025.49</v>
      </c>
      <c r="I37" s="1223">
        <v>8005.47</v>
      </c>
      <c r="J37" s="1224">
        <v>0.09</v>
      </c>
      <c r="K37" s="1225">
        <v>10.85</v>
      </c>
      <c r="L37" s="1225">
        <v>4.63</v>
      </c>
    </row>
    <row r="38" spans="1:12" s="846" customFormat="1" ht="17.25" customHeight="1">
      <c r="A38" s="770"/>
      <c r="B38" s="771" t="s">
        <v>421</v>
      </c>
      <c r="C38" s="1219">
        <v>41</v>
      </c>
      <c r="D38" s="867">
        <v>220796</v>
      </c>
      <c r="E38" s="1220">
        <v>26625</v>
      </c>
      <c r="F38" s="867">
        <v>1377</v>
      </c>
      <c r="G38" s="1221" t="s">
        <v>1560</v>
      </c>
      <c r="H38" s="1222">
        <v>1969.89</v>
      </c>
      <c r="I38" s="1223">
        <v>7788</v>
      </c>
      <c r="J38" s="1224">
        <v>0.34</v>
      </c>
      <c r="K38" s="1225">
        <v>10.53</v>
      </c>
      <c r="L38" s="1225">
        <v>4.7699999999999996</v>
      </c>
    </row>
    <row r="39" spans="1:12" s="846" customFormat="1" ht="17.25" customHeight="1">
      <c r="A39" s="770"/>
      <c r="B39" s="771" t="s">
        <v>422</v>
      </c>
      <c r="C39" s="1219">
        <v>41</v>
      </c>
      <c r="D39" s="867">
        <v>194865</v>
      </c>
      <c r="E39" s="1220">
        <v>62142</v>
      </c>
      <c r="F39" s="867">
        <v>1458</v>
      </c>
      <c r="G39" s="1221" t="s">
        <v>1560</v>
      </c>
      <c r="H39" s="1222">
        <v>1957.49</v>
      </c>
      <c r="I39" s="1223">
        <v>7613.27</v>
      </c>
      <c r="J39" s="1224">
        <v>0.73</v>
      </c>
      <c r="K39" s="1225">
        <v>11.17</v>
      </c>
      <c r="L39" s="1225">
        <v>4.8099999999999996</v>
      </c>
    </row>
    <row r="40" spans="1:12" s="846" customFormat="1" ht="17.25" customHeight="1">
      <c r="A40" s="770"/>
      <c r="B40" s="771" t="s">
        <v>423</v>
      </c>
      <c r="C40" s="1219">
        <v>40</v>
      </c>
      <c r="D40" s="867">
        <v>87023</v>
      </c>
      <c r="E40" s="1220">
        <v>28876</v>
      </c>
      <c r="F40" s="867">
        <v>1445</v>
      </c>
      <c r="G40" s="1221" t="s">
        <v>1560</v>
      </c>
      <c r="H40" s="1222">
        <v>2012.77</v>
      </c>
      <c r="I40" s="1223">
        <v>7797.73</v>
      </c>
      <c r="J40" s="1224">
        <v>0.36</v>
      </c>
      <c r="K40" s="1225">
        <v>11.53</v>
      </c>
      <c r="L40" s="1225">
        <v>4.7</v>
      </c>
    </row>
    <row r="41" spans="1:12" s="846" customFormat="1" ht="17.25" customHeight="1">
      <c r="A41" s="770"/>
      <c r="B41" s="771" t="s">
        <v>424</v>
      </c>
      <c r="C41" s="1219">
        <v>40</v>
      </c>
      <c r="D41" s="867">
        <v>23439</v>
      </c>
      <c r="E41" s="1220">
        <v>9941</v>
      </c>
      <c r="F41" s="867">
        <v>1035</v>
      </c>
      <c r="G41" s="1221" t="s">
        <v>1560</v>
      </c>
      <c r="H41" s="1222">
        <v>2018.9</v>
      </c>
      <c r="I41" s="1223">
        <v>7821.49</v>
      </c>
      <c r="J41" s="1224">
        <v>0.12</v>
      </c>
      <c r="K41" s="1225">
        <v>11.58</v>
      </c>
      <c r="L41" s="1225">
        <v>4.68</v>
      </c>
    </row>
    <row r="42" spans="1:12" s="846" customFormat="1" ht="17.25" customHeight="1">
      <c r="A42" s="770"/>
      <c r="B42" s="771" t="s">
        <v>425</v>
      </c>
      <c r="C42" s="1219">
        <v>40</v>
      </c>
      <c r="D42" s="867">
        <v>39428</v>
      </c>
      <c r="E42" s="1220">
        <v>25343</v>
      </c>
      <c r="F42" s="867">
        <v>1002</v>
      </c>
      <c r="G42" s="1221" t="s">
        <v>1560</v>
      </c>
      <c r="H42" s="1222">
        <v>2031.98</v>
      </c>
      <c r="I42" s="1223">
        <v>7872.14</v>
      </c>
      <c r="J42" s="1224">
        <v>0.31</v>
      </c>
      <c r="K42" s="1225">
        <v>11.67</v>
      </c>
      <c r="L42" s="1225">
        <v>4.6500000000000004</v>
      </c>
    </row>
    <row r="43" spans="1:12" s="846" customFormat="1" ht="17.25" customHeight="1">
      <c r="A43" s="770"/>
      <c r="B43" s="771" t="s">
        <v>426</v>
      </c>
      <c r="C43" s="1219">
        <v>41</v>
      </c>
      <c r="D43" s="867">
        <v>22051</v>
      </c>
      <c r="E43" s="1220">
        <v>9552</v>
      </c>
      <c r="F43" s="867">
        <v>1126</v>
      </c>
      <c r="G43" s="1221" t="s">
        <v>1560</v>
      </c>
      <c r="H43" s="1222">
        <v>1985.91</v>
      </c>
      <c r="I43" s="1223">
        <v>7693.68</v>
      </c>
      <c r="J43" s="1224">
        <v>0.11</v>
      </c>
      <c r="K43" s="1225">
        <v>11.38</v>
      </c>
      <c r="L43" s="1225">
        <v>4.76</v>
      </c>
    </row>
    <row r="44" spans="1:12" ht="21.2" customHeight="1">
      <c r="A44" s="462" t="s">
        <v>1561</v>
      </c>
      <c r="B44" s="462"/>
      <c r="C44" s="462"/>
      <c r="D44" s="462"/>
      <c r="E44" s="462"/>
      <c r="F44" s="462"/>
      <c r="G44" s="462"/>
      <c r="H44" s="462"/>
      <c r="I44" s="462"/>
      <c r="J44" s="462"/>
      <c r="K44" s="462"/>
      <c r="L44" s="517" t="s">
        <v>1562</v>
      </c>
    </row>
    <row r="45" spans="1:12" ht="13.7" customHeight="1">
      <c r="A45" s="445" t="s">
        <v>1563</v>
      </c>
      <c r="L45" s="518" t="s">
        <v>1564</v>
      </c>
    </row>
    <row r="46" spans="1:12" ht="13.7" customHeight="1">
      <c r="A46" s="445" t="s">
        <v>1565</v>
      </c>
      <c r="L46" s="518" t="s">
        <v>1741</v>
      </c>
    </row>
    <row r="47" spans="1:12" ht="13.7" customHeight="1">
      <c r="A47" s="445" t="s">
        <v>1566</v>
      </c>
      <c r="L47" s="518" t="s">
        <v>1567</v>
      </c>
    </row>
    <row r="48" spans="1:12" ht="13.7" customHeight="1">
      <c r="A48" s="482" t="s">
        <v>1568</v>
      </c>
      <c r="L48" s="519" t="s">
        <v>1569</v>
      </c>
    </row>
    <row r="49" spans="1:12">
      <c r="E49" s="445" t="s">
        <v>119</v>
      </c>
    </row>
    <row r="50" spans="1:12" ht="14.25">
      <c r="A50" s="520" t="s">
        <v>1570</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31" activePane="bottomLeft" state="frozen"/>
      <selection activeCell="B12" sqref="B12"/>
      <selection pane="bottomLeft" activeCell="I36" sqref="I36"/>
    </sheetView>
  </sheetViews>
  <sheetFormatPr defaultColWidth="7.85546875" defaultRowHeight="15"/>
  <cols>
    <col min="1" max="2" width="9.28515625" style="8" customWidth="1"/>
    <col min="3" max="10" width="19.7109375" style="8" customWidth="1"/>
    <col min="11" max="11" width="17.5703125" style="8" customWidth="1"/>
    <col min="12" max="16384" width="7.85546875" style="8"/>
  </cols>
  <sheetData>
    <row r="1" spans="1:12" s="897" customFormat="1" ht="18">
      <c r="A1" s="16" t="s">
        <v>457</v>
      </c>
      <c r="B1" s="896"/>
      <c r="C1" s="896"/>
      <c r="D1" s="896"/>
      <c r="E1" s="896"/>
      <c r="F1" s="896"/>
      <c r="G1" s="896"/>
      <c r="H1" s="896"/>
      <c r="I1" s="896"/>
      <c r="J1" s="896"/>
      <c r="K1" s="896"/>
    </row>
    <row r="2" spans="1:12" s="897" customFormat="1" ht="18">
      <c r="A2" s="898" t="s">
        <v>9</v>
      </c>
      <c r="B2" s="896"/>
      <c r="C2" s="896"/>
      <c r="D2" s="896"/>
      <c r="E2" s="896"/>
      <c r="F2" s="896"/>
      <c r="G2" s="896"/>
      <c r="H2" s="896"/>
      <c r="I2" s="896"/>
      <c r="J2" s="896"/>
      <c r="K2" s="896"/>
    </row>
    <row r="3" spans="1:12" s="897" customFormat="1" ht="14.25" customHeight="1">
      <c r="A3" s="16" t="s">
        <v>8</v>
      </c>
      <c r="B3" s="896"/>
      <c r="C3" s="896"/>
      <c r="D3" s="7"/>
      <c r="E3" s="7"/>
      <c r="F3" s="896"/>
      <c r="G3" s="896"/>
      <c r="H3" s="896"/>
      <c r="I3" s="896"/>
      <c r="J3" s="896"/>
      <c r="K3" s="896"/>
    </row>
    <row r="4" spans="1:12" s="897" customFormat="1" ht="0.6" customHeight="1">
      <c r="A4" s="899"/>
      <c r="D4" s="5"/>
      <c r="E4" s="5"/>
    </row>
    <row r="5" spans="1:12" s="26" customFormat="1" ht="16.5" customHeight="1">
      <c r="A5" s="18" t="s">
        <v>373</v>
      </c>
      <c r="C5" s="900"/>
      <c r="D5" s="901"/>
      <c r="E5" s="901"/>
      <c r="F5" s="33"/>
      <c r="G5" s="902"/>
      <c r="H5" s="902"/>
      <c r="I5" s="902"/>
      <c r="J5" s="21"/>
      <c r="K5" s="21" t="s">
        <v>374</v>
      </c>
    </row>
    <row r="6" spans="1:12" s="39" customFormat="1" ht="17.45" customHeight="1">
      <c r="A6" s="903"/>
      <c r="B6" s="904"/>
      <c r="C6" s="905"/>
      <c r="D6" s="906" t="s">
        <v>458</v>
      </c>
      <c r="E6" s="906"/>
      <c r="F6" s="907"/>
      <c r="G6" s="908" t="s">
        <v>459</v>
      </c>
      <c r="H6" s="94"/>
      <c r="I6" s="72"/>
      <c r="J6" s="72" t="s">
        <v>9</v>
      </c>
      <c r="K6" s="72"/>
    </row>
    <row r="7" spans="1:12" s="39" customFormat="1" ht="17.45" customHeight="1">
      <c r="A7" s="24"/>
      <c r="B7" s="74"/>
      <c r="C7" s="79" t="s">
        <v>430</v>
      </c>
      <c r="D7" s="123" t="s">
        <v>460</v>
      </c>
      <c r="E7" s="123"/>
      <c r="F7" s="909" t="s">
        <v>461</v>
      </c>
      <c r="G7" s="910"/>
      <c r="H7" s="95" t="s">
        <v>9</v>
      </c>
      <c r="I7" s="79" t="s">
        <v>9</v>
      </c>
      <c r="J7" s="79" t="s">
        <v>462</v>
      </c>
      <c r="K7" s="79" t="s">
        <v>463</v>
      </c>
    </row>
    <row r="8" spans="1:12" s="39" customFormat="1" ht="17.45" customHeight="1">
      <c r="A8" s="24" t="s">
        <v>383</v>
      </c>
      <c r="B8" s="74"/>
      <c r="C8" s="79" t="s">
        <v>437</v>
      </c>
      <c r="D8" s="1240" t="s">
        <v>464</v>
      </c>
      <c r="E8" s="1241"/>
      <c r="F8" s="78" t="s">
        <v>465</v>
      </c>
      <c r="G8" s="911" t="s">
        <v>395</v>
      </c>
      <c r="H8" s="95" t="s">
        <v>466</v>
      </c>
      <c r="I8" s="95" t="s">
        <v>462</v>
      </c>
      <c r="J8" s="941" t="s">
        <v>467</v>
      </c>
      <c r="K8" s="95" t="s">
        <v>468</v>
      </c>
    </row>
    <row r="9" spans="1:12" s="39" customFormat="1" ht="17.45" customHeight="1">
      <c r="A9" s="97" t="s">
        <v>391</v>
      </c>
      <c r="B9" s="74"/>
      <c r="C9" s="64" t="s">
        <v>6</v>
      </c>
      <c r="D9" s="1242" t="s">
        <v>469</v>
      </c>
      <c r="E9" s="1243"/>
      <c r="F9" s="64" t="s">
        <v>470</v>
      </c>
      <c r="G9" s="96" t="s">
        <v>471</v>
      </c>
      <c r="H9" s="63" t="s">
        <v>472</v>
      </c>
      <c r="I9" s="64" t="s">
        <v>473</v>
      </c>
      <c r="J9" s="64" t="s">
        <v>474</v>
      </c>
      <c r="K9" s="64" t="s">
        <v>475</v>
      </c>
    </row>
    <row r="10" spans="1:12" s="34" customFormat="1" ht="17.45" customHeight="1">
      <c r="A10" s="62"/>
      <c r="B10" s="74"/>
      <c r="C10" s="63" t="s">
        <v>476</v>
      </c>
      <c r="D10" s="64" t="s">
        <v>477</v>
      </c>
      <c r="E10" s="64" t="s">
        <v>393</v>
      </c>
      <c r="F10" s="63" t="s">
        <v>478</v>
      </c>
      <c r="G10" s="64" t="s">
        <v>479</v>
      </c>
      <c r="H10" s="912"/>
      <c r="I10" s="912"/>
      <c r="J10" s="942" t="s">
        <v>480</v>
      </c>
      <c r="K10" s="912"/>
    </row>
    <row r="11" spans="1:12" s="34" customFormat="1" ht="17.45" customHeight="1">
      <c r="A11" s="62"/>
      <c r="B11" s="74"/>
      <c r="C11" s="63"/>
      <c r="D11" s="64" t="s">
        <v>149</v>
      </c>
      <c r="E11" s="64" t="s">
        <v>481</v>
      </c>
      <c r="F11" s="63"/>
      <c r="G11" s="64"/>
      <c r="H11" s="912" t="s">
        <v>252</v>
      </c>
      <c r="I11" s="912" t="s">
        <v>255</v>
      </c>
      <c r="J11" s="942" t="s">
        <v>259</v>
      </c>
      <c r="K11" s="912" t="s">
        <v>482</v>
      </c>
    </row>
    <row r="12" spans="1:12" s="34" customFormat="1" ht="17.45" customHeight="1">
      <c r="A12" s="65"/>
      <c r="B12" s="98"/>
      <c r="C12" s="913">
        <v>1</v>
      </c>
      <c r="D12" s="913">
        <v>2</v>
      </c>
      <c r="E12" s="913">
        <v>3</v>
      </c>
      <c r="F12" s="913">
        <v>4</v>
      </c>
      <c r="G12" s="913">
        <v>5</v>
      </c>
      <c r="H12" s="914" t="s">
        <v>483</v>
      </c>
      <c r="I12" s="914" t="s">
        <v>484</v>
      </c>
      <c r="J12" s="914" t="s">
        <v>485</v>
      </c>
      <c r="K12" s="914" t="s">
        <v>486</v>
      </c>
    </row>
    <row r="13" spans="1:12" s="871" customFormat="1" ht="20.25" customHeight="1">
      <c r="A13" s="915">
        <v>2015</v>
      </c>
      <c r="B13" s="916"/>
      <c r="C13" s="696">
        <v>525.16340813830004</v>
      </c>
      <c r="D13" s="696">
        <v>2110.35265351</v>
      </c>
      <c r="E13" s="696">
        <v>658.80836530932595</v>
      </c>
      <c r="F13" s="695">
        <v>6748.5117831749758</v>
      </c>
      <c r="G13" s="674">
        <v>1852.2954112319999</v>
      </c>
      <c r="H13" s="674">
        <v>2635.5660616483001</v>
      </c>
      <c r="I13" s="675">
        <v>10042.886210132601</v>
      </c>
      <c r="J13" s="688">
        <v>11895.181621364602</v>
      </c>
      <c r="K13" s="688">
        <v>1917.6999999999998</v>
      </c>
    </row>
    <row r="14" spans="1:12" s="922" customFormat="1" ht="14.25" customHeight="1">
      <c r="A14" s="917">
        <v>2016</v>
      </c>
      <c r="B14" s="918"/>
      <c r="C14" s="919">
        <v>535.29926641691372</v>
      </c>
      <c r="D14" s="919">
        <f>'19'!E14</f>
        <v>2138.2177681282806</v>
      </c>
      <c r="E14" s="919">
        <f>'19'!F14</f>
        <v>642.39612286427302</v>
      </c>
      <c r="F14" s="920">
        <v>6852.0000513171935</v>
      </c>
      <c r="G14" s="921">
        <v>1853.9136968069997</v>
      </c>
      <c r="H14" s="921">
        <f t="shared" ref="H14" si="0">C14+D14</f>
        <v>2673.5170345451943</v>
      </c>
      <c r="I14" s="828">
        <f t="shared" ref="I14:I15" si="1">E14+F14+H14</f>
        <v>10167.913208726661</v>
      </c>
      <c r="J14" s="828">
        <f t="shared" ref="J14:J15" si="2">G14+I14</f>
        <v>12021.82690553366</v>
      </c>
      <c r="K14" s="828">
        <f>'1'!J14+'1'!K14</f>
        <v>1757.4</v>
      </c>
    </row>
    <row r="15" spans="1:12" s="922" customFormat="1" ht="14.25" customHeight="1">
      <c r="A15" s="917">
        <v>2017</v>
      </c>
      <c r="B15" s="918"/>
      <c r="C15" s="919">
        <v>526.82989131050897</v>
      </c>
      <c r="D15" s="919">
        <f>'19'!E15</f>
        <v>2134.9269323283997</v>
      </c>
      <c r="E15" s="919">
        <f>'19'!F15</f>
        <v>693.18820968432033</v>
      </c>
      <c r="F15" s="920">
        <v>7239.5851099663323</v>
      </c>
      <c r="G15" s="921">
        <v>1926.8382043640001</v>
      </c>
      <c r="H15" s="921">
        <f>C15+D15-0.02</f>
        <v>2661.7368236389088</v>
      </c>
      <c r="I15" s="828">
        <f t="shared" si="1"/>
        <v>10594.510143289561</v>
      </c>
      <c r="J15" s="828">
        <f t="shared" si="2"/>
        <v>12521.34834765356</v>
      </c>
      <c r="K15" s="828">
        <f>'1'!J15+'1'!K15</f>
        <v>1881.5</v>
      </c>
    </row>
    <row r="16" spans="1:12" s="321" customFormat="1" ht="14.25" customHeight="1">
      <c r="A16" s="770">
        <v>2018</v>
      </c>
      <c r="B16" s="923"/>
      <c r="C16" s="924">
        <v>528.08598133328803</v>
      </c>
      <c r="D16" s="924">
        <v>2134.0426124744909</v>
      </c>
      <c r="E16" s="924">
        <v>759.88987518958083</v>
      </c>
      <c r="F16" s="925">
        <v>7423.2561430199476</v>
      </c>
      <c r="G16" s="926">
        <v>1776.8011451689999</v>
      </c>
      <c r="H16" s="926">
        <v>2662.128593807779</v>
      </c>
      <c r="I16" s="927">
        <v>10845.274612017307</v>
      </c>
      <c r="J16" s="928">
        <v>12622.075757186307</v>
      </c>
      <c r="K16" s="688">
        <v>1710.4</v>
      </c>
      <c r="L16" s="929"/>
    </row>
    <row r="17" spans="1:26" s="321" customFormat="1" ht="14.25" customHeight="1">
      <c r="A17" s="770">
        <v>2019</v>
      </c>
      <c r="B17" s="923"/>
      <c r="C17" s="924">
        <v>535.08184891560677</v>
      </c>
      <c r="D17" s="924">
        <v>2091.7532694730303</v>
      </c>
      <c r="E17" s="924">
        <v>886.74787459117942</v>
      </c>
      <c r="F17" s="925">
        <v>8538.5591558794513</v>
      </c>
      <c r="G17" s="926">
        <v>1619.7222359805014</v>
      </c>
      <c r="H17" s="926">
        <v>2626.855118388637</v>
      </c>
      <c r="I17" s="927">
        <v>12052.162148859268</v>
      </c>
      <c r="J17" s="928">
        <v>13671.88438483977</v>
      </c>
      <c r="K17" s="688">
        <v>2290.1999999999998</v>
      </c>
      <c r="L17" s="929"/>
    </row>
    <row r="18" spans="1:26" s="321" customFormat="1" ht="14.25" customHeight="1">
      <c r="A18" s="770">
        <v>2020</v>
      </c>
      <c r="B18" s="923"/>
      <c r="C18" s="924">
        <v>592.95959356039339</v>
      </c>
      <c r="D18" s="924">
        <v>2328.1221359915426</v>
      </c>
      <c r="E18" s="924">
        <v>959.86336410280069</v>
      </c>
      <c r="F18" s="925">
        <v>8959.0425703719866</v>
      </c>
      <c r="G18" s="926">
        <v>1311.2591442631301</v>
      </c>
      <c r="H18" s="926">
        <v>2921.081729551936</v>
      </c>
      <c r="I18" s="927">
        <v>12839.987664026723</v>
      </c>
      <c r="J18" s="928">
        <v>14151.256808289852</v>
      </c>
      <c r="K18" s="688">
        <v>2153.6</v>
      </c>
      <c r="L18" s="929"/>
    </row>
    <row r="19" spans="1:26" s="321" customFormat="1" ht="14.25" customHeight="1">
      <c r="A19" s="770">
        <v>2021</v>
      </c>
      <c r="B19" s="923"/>
      <c r="C19" s="924">
        <v>558.04158298132779</v>
      </c>
      <c r="D19" s="924">
        <v>2666.689602116322</v>
      </c>
      <c r="E19" s="924">
        <v>1285.2737384625063</v>
      </c>
      <c r="F19" s="925">
        <v>8955.4468983687038</v>
      </c>
      <c r="G19" s="926">
        <v>1418.7805396367728</v>
      </c>
      <c r="H19" s="926">
        <v>3224.7311850976498</v>
      </c>
      <c r="I19" s="927">
        <v>13465.43182192886</v>
      </c>
      <c r="J19" s="928">
        <v>14884.212361565633</v>
      </c>
      <c r="K19" s="688">
        <v>3039.1</v>
      </c>
      <c r="L19" s="929"/>
    </row>
    <row r="20" spans="1:26" s="321" customFormat="1" ht="14.25" customHeight="1">
      <c r="A20" s="770">
        <v>2022</v>
      </c>
      <c r="B20" s="923"/>
      <c r="C20" s="924">
        <v>506.54644282845959</v>
      </c>
      <c r="D20" s="924">
        <v>2556.7957736024409</v>
      </c>
      <c r="E20" s="924">
        <v>841.75001970968094</v>
      </c>
      <c r="F20" s="925">
        <v>10079.686227244012</v>
      </c>
      <c r="G20" s="926">
        <v>1150.6499832553679</v>
      </c>
      <c r="H20" s="926">
        <v>3063.3422164309004</v>
      </c>
      <c r="I20" s="927">
        <v>13984.778463384595</v>
      </c>
      <c r="J20" s="928">
        <v>15135.428446639962</v>
      </c>
      <c r="K20" s="688">
        <v>3908.8</v>
      </c>
      <c r="L20" s="929"/>
    </row>
    <row r="21" spans="1:26" s="321" customFormat="1" ht="14.25" customHeight="1">
      <c r="A21" s="770">
        <v>2023</v>
      </c>
      <c r="B21" s="923"/>
      <c r="C21" s="924">
        <f t="shared" ref="C21:K21" si="3">C26</f>
        <v>531.89309880297992</v>
      </c>
      <c r="D21" s="924">
        <f t="shared" si="3"/>
        <v>2301.4138427349267</v>
      </c>
      <c r="E21" s="924">
        <f t="shared" si="3"/>
        <v>906.12758700814038</v>
      </c>
      <c r="F21" s="925">
        <f t="shared" si="3"/>
        <v>10950.533541082319</v>
      </c>
      <c r="G21" s="926">
        <f t="shared" si="3"/>
        <v>1276.3532909607</v>
      </c>
      <c r="H21" s="926">
        <f t="shared" si="3"/>
        <v>2833.3069415379068</v>
      </c>
      <c r="I21" s="927">
        <f t="shared" si="3"/>
        <v>14689.938069628366</v>
      </c>
      <c r="J21" s="928">
        <f t="shared" si="3"/>
        <v>15966.291360589066</v>
      </c>
      <c r="K21" s="688">
        <f t="shared" si="3"/>
        <v>5136.3</v>
      </c>
      <c r="L21" s="929"/>
    </row>
    <row r="22" spans="1:26" s="321" customFormat="1" ht="14.25" customHeight="1">
      <c r="A22" s="930">
        <v>2024</v>
      </c>
      <c r="B22" s="931"/>
      <c r="C22" s="932">
        <f t="shared" ref="C22:K22" si="4">C30</f>
        <v>533.99727991581972</v>
      </c>
      <c r="D22" s="932">
        <f t="shared" si="4"/>
        <v>2399.5337979070973</v>
      </c>
      <c r="E22" s="1348">
        <f t="shared" si="4"/>
        <v>864.35137019574063</v>
      </c>
      <c r="F22" s="933">
        <f t="shared" si="4"/>
        <v>10949.600158205034</v>
      </c>
      <c r="G22" s="934">
        <f t="shared" si="4"/>
        <v>1472.8992935549791</v>
      </c>
      <c r="H22" s="934">
        <f t="shared" si="4"/>
        <v>2933.5310778229168</v>
      </c>
      <c r="I22" s="935">
        <f t="shared" si="4"/>
        <v>14747.48260622369</v>
      </c>
      <c r="J22" s="936">
        <f t="shared" si="4"/>
        <v>16220.381899778669</v>
      </c>
      <c r="K22" s="829">
        <f t="shared" si="4"/>
        <v>5445.7</v>
      </c>
      <c r="L22" s="929"/>
    </row>
    <row r="23" spans="1:26" s="321" customFormat="1" ht="21" customHeight="1">
      <c r="A23" s="770">
        <v>2023</v>
      </c>
      <c r="B23" s="923" t="s">
        <v>243</v>
      </c>
      <c r="C23" s="924">
        <v>554.52458612375608</v>
      </c>
      <c r="D23" s="924">
        <v>2412.1579539928089</v>
      </c>
      <c r="E23" s="924">
        <v>966.3743155553675</v>
      </c>
      <c r="F23" s="925">
        <v>10626.897642972021</v>
      </c>
      <c r="G23" s="926">
        <v>1187.9346761224792</v>
      </c>
      <c r="H23" s="926">
        <v>2966.6825401165652</v>
      </c>
      <c r="I23" s="927">
        <v>14559.954498643954</v>
      </c>
      <c r="J23" s="928">
        <v>15747.889174766433</v>
      </c>
      <c r="K23" s="688">
        <v>4437.3999999999996</v>
      </c>
      <c r="L23" s="929"/>
    </row>
    <row r="24" spans="1:26" s="321" customFormat="1">
      <c r="A24" s="770"/>
      <c r="B24" s="923" t="s">
        <v>244</v>
      </c>
      <c r="C24" s="924">
        <v>563.43943855166538</v>
      </c>
      <c r="D24" s="924">
        <v>2316.7084388532571</v>
      </c>
      <c r="E24" s="924">
        <v>672.18756402166923</v>
      </c>
      <c r="F24" s="925">
        <v>10903.717621457039</v>
      </c>
      <c r="G24" s="926">
        <v>1261.6598117352801</v>
      </c>
      <c r="H24" s="926">
        <v>2880.1478774049224</v>
      </c>
      <c r="I24" s="927">
        <v>14456.043062883631</v>
      </c>
      <c r="J24" s="928">
        <v>15717.702874618912</v>
      </c>
      <c r="K24" s="688">
        <v>4845.1000000000004</v>
      </c>
      <c r="L24" s="929"/>
    </row>
    <row r="25" spans="1:26" s="321" customFormat="1">
      <c r="A25" s="770"/>
      <c r="B25" s="771" t="s">
        <v>245</v>
      </c>
      <c r="C25" s="1204">
        <v>522.17195549953237</v>
      </c>
      <c r="D25" s="924">
        <v>2293.0560053465651</v>
      </c>
      <c r="E25" s="1137">
        <v>714.7812355535782</v>
      </c>
      <c r="F25" s="925">
        <v>10847.401909800372</v>
      </c>
      <c r="G25" s="926">
        <v>1290.54435393515</v>
      </c>
      <c r="H25" s="926">
        <v>2815.2579608460978</v>
      </c>
      <c r="I25" s="927">
        <v>14377.461106200049</v>
      </c>
      <c r="J25" s="928">
        <v>15668.005460135199</v>
      </c>
      <c r="K25" s="688">
        <v>5207.7</v>
      </c>
      <c r="L25" s="929"/>
    </row>
    <row r="26" spans="1:26" s="321" customFormat="1">
      <c r="A26" s="770"/>
      <c r="B26" s="923" t="s">
        <v>242</v>
      </c>
      <c r="C26" s="924">
        <v>531.89309880297992</v>
      </c>
      <c r="D26" s="924">
        <v>2301.4138427349267</v>
      </c>
      <c r="E26" s="924">
        <v>906.12758700814038</v>
      </c>
      <c r="F26" s="925">
        <v>10950.533541082319</v>
      </c>
      <c r="G26" s="926">
        <v>1276.3532909607</v>
      </c>
      <c r="H26" s="926">
        <v>2833.3069415379068</v>
      </c>
      <c r="I26" s="927">
        <v>14689.938069628366</v>
      </c>
      <c r="J26" s="928">
        <v>15966.291360589066</v>
      </c>
      <c r="K26" s="688">
        <v>5136.3</v>
      </c>
      <c r="L26" s="929"/>
    </row>
    <row r="27" spans="1:26" s="321" customFormat="1" ht="21" customHeight="1">
      <c r="A27" s="770">
        <v>2024</v>
      </c>
      <c r="B27" s="923" t="s">
        <v>243</v>
      </c>
      <c r="C27" s="924">
        <f t="shared" ref="C27:K27" si="5">C34</f>
        <v>511.47851393985911</v>
      </c>
      <c r="D27" s="924">
        <f t="shared" si="5"/>
        <v>2275.5877113516635</v>
      </c>
      <c r="E27" s="924">
        <f t="shared" si="5"/>
        <v>868.13153155032103</v>
      </c>
      <c r="F27" s="925">
        <f t="shared" si="5"/>
        <v>10743.766682493722</v>
      </c>
      <c r="G27" s="926">
        <f t="shared" si="5"/>
        <v>1500.6929746786798</v>
      </c>
      <c r="H27" s="926">
        <f t="shared" si="5"/>
        <v>2787.0662252915226</v>
      </c>
      <c r="I27" s="927">
        <f t="shared" si="5"/>
        <v>14398.964439335567</v>
      </c>
      <c r="J27" s="928">
        <f t="shared" si="5"/>
        <v>15899.657414014246</v>
      </c>
      <c r="K27" s="688">
        <f t="shared" si="5"/>
        <v>5080.6000000000004</v>
      </c>
      <c r="L27" s="929"/>
    </row>
    <row r="28" spans="1:26" s="321" customFormat="1" ht="15" customHeight="1">
      <c r="A28" s="770"/>
      <c r="B28" s="923" t="s">
        <v>244</v>
      </c>
      <c r="C28" s="924">
        <f t="shared" ref="C28:K28" si="6">C37</f>
        <v>538.33725404694235</v>
      </c>
      <c r="D28" s="924">
        <f t="shared" si="6"/>
        <v>2261.4105805440267</v>
      </c>
      <c r="E28" s="924">
        <f t="shared" si="6"/>
        <v>969.81171524381875</v>
      </c>
      <c r="F28" s="925">
        <f t="shared" si="6"/>
        <v>10920.807050660442</v>
      </c>
      <c r="G28" s="926">
        <f t="shared" si="6"/>
        <v>1325.7880142105</v>
      </c>
      <c r="H28" s="926">
        <f t="shared" si="6"/>
        <v>2799.747834590969</v>
      </c>
      <c r="I28" s="927">
        <f t="shared" si="6"/>
        <v>14690.33660049523</v>
      </c>
      <c r="J28" s="928">
        <f t="shared" si="6"/>
        <v>16016.12461470573</v>
      </c>
      <c r="K28" s="688">
        <f t="shared" si="6"/>
        <v>5651.1</v>
      </c>
      <c r="L28" s="929"/>
    </row>
    <row r="29" spans="1:26" s="321" customFormat="1" ht="15" customHeight="1">
      <c r="A29" s="770"/>
      <c r="B29" s="923" t="s">
        <v>245</v>
      </c>
      <c r="C29" s="924">
        <f t="shared" ref="C29:K29" si="7">C40</f>
        <v>544.35395613812079</v>
      </c>
      <c r="D29" s="924">
        <f t="shared" si="7"/>
        <v>2356.7583426634824</v>
      </c>
      <c r="E29" s="924">
        <f t="shared" si="7"/>
        <v>940.50855098862485</v>
      </c>
      <c r="F29" s="925">
        <f t="shared" si="7"/>
        <v>11292.641632168004</v>
      </c>
      <c r="G29" s="926">
        <f t="shared" si="7"/>
        <v>1491.8550166627801</v>
      </c>
      <c r="H29" s="926">
        <f t="shared" si="7"/>
        <v>2901.1822988016033</v>
      </c>
      <c r="I29" s="927">
        <f t="shared" si="7"/>
        <v>15134.332481958232</v>
      </c>
      <c r="J29" s="928">
        <f t="shared" si="7"/>
        <v>16626.187498621013</v>
      </c>
      <c r="K29" s="688">
        <f t="shared" si="7"/>
        <v>6113.8</v>
      </c>
      <c r="L29" s="929"/>
    </row>
    <row r="30" spans="1:26" s="321" customFormat="1" ht="15" customHeight="1">
      <c r="A30" s="930"/>
      <c r="B30" s="931" t="s">
        <v>242</v>
      </c>
      <c r="C30" s="932">
        <f t="shared" ref="C30:K30" si="8">C43</f>
        <v>533.99727991581972</v>
      </c>
      <c r="D30" s="932">
        <f t="shared" si="8"/>
        <v>2399.5337979070973</v>
      </c>
      <c r="E30" s="932">
        <f t="shared" si="8"/>
        <v>864.35137019574063</v>
      </c>
      <c r="F30" s="933">
        <f t="shared" si="8"/>
        <v>10949.600158205034</v>
      </c>
      <c r="G30" s="934">
        <f t="shared" si="8"/>
        <v>1472.8992935549791</v>
      </c>
      <c r="H30" s="934">
        <f t="shared" si="8"/>
        <v>2933.5310778229168</v>
      </c>
      <c r="I30" s="935">
        <f t="shared" si="8"/>
        <v>14747.48260622369</v>
      </c>
      <c r="J30" s="936">
        <f t="shared" si="8"/>
        <v>16220.381899778669</v>
      </c>
      <c r="K30" s="829">
        <f t="shared" si="8"/>
        <v>5445.7</v>
      </c>
      <c r="L30" s="929"/>
    </row>
    <row r="31" spans="1:26" s="871" customFormat="1" ht="21" customHeight="1">
      <c r="A31" s="915">
        <v>2023</v>
      </c>
      <c r="B31" s="406" t="s">
        <v>426</v>
      </c>
      <c r="C31" s="696">
        <v>531.89309880297992</v>
      </c>
      <c r="D31" s="696">
        <v>2301.4138427349267</v>
      </c>
      <c r="E31" s="696">
        <v>906.12758700814038</v>
      </c>
      <c r="F31" s="695">
        <v>10950.533541082319</v>
      </c>
      <c r="G31" s="674">
        <v>1276.3532909607</v>
      </c>
      <c r="H31" s="674">
        <v>2833.3069415379068</v>
      </c>
      <c r="I31" s="675">
        <v>14689.938069628366</v>
      </c>
      <c r="J31" s="688">
        <v>15966.291360589066</v>
      </c>
      <c r="K31" s="688">
        <v>5136.3</v>
      </c>
      <c r="L31" s="995"/>
      <c r="M31" s="995"/>
      <c r="N31" s="995"/>
      <c r="O31" s="306"/>
      <c r="P31" s="306"/>
      <c r="Q31" s="306"/>
      <c r="R31" s="306"/>
      <c r="S31" s="306"/>
      <c r="T31" s="306"/>
      <c r="U31" s="306"/>
      <c r="V31" s="306"/>
      <c r="W31" s="306"/>
      <c r="X31" s="306"/>
      <c r="Y31" s="306"/>
      <c r="Z31" s="306"/>
    </row>
    <row r="32" spans="1:26" s="871" customFormat="1" ht="21" customHeight="1">
      <c r="A32" s="915">
        <v>2024</v>
      </c>
      <c r="B32" s="406" t="s">
        <v>427</v>
      </c>
      <c r="C32" s="696">
        <f>'2'!L32</f>
        <v>530.59544909493331</v>
      </c>
      <c r="D32" s="696">
        <f>'19'!E32</f>
        <v>2214.7022857085008</v>
      </c>
      <c r="E32" s="696">
        <f>'19'!F32</f>
        <v>833.33631055916885</v>
      </c>
      <c r="F32" s="695">
        <f>'1'!M32+'19'!G32+'19'!H32+'19'!I32+'19'!J32+0.03</f>
        <v>11008.561469937813</v>
      </c>
      <c r="G32" s="674">
        <f>'1'!L32+'19'!C32+'19'!D32</f>
        <v>1203.6851711795998</v>
      </c>
      <c r="H32" s="674">
        <f>C32+D32</f>
        <v>2745.2977348034342</v>
      </c>
      <c r="I32" s="675">
        <f t="shared" ref="I32:I36" si="9">E32+F32+H32</f>
        <v>14587.195515300416</v>
      </c>
      <c r="J32" s="688">
        <f t="shared" ref="J32:J33" si="10">G32+I32</f>
        <v>15790.880686480017</v>
      </c>
      <c r="K32" s="688">
        <f>'1'!J32+'1'!K32</f>
        <v>5345.7</v>
      </c>
      <c r="L32" s="995"/>
      <c r="M32" s="995"/>
      <c r="N32" s="995"/>
      <c r="O32" s="306"/>
      <c r="P32" s="306"/>
      <c r="Q32" s="306"/>
      <c r="R32" s="306"/>
      <c r="S32" s="306"/>
      <c r="T32" s="306"/>
      <c r="U32" s="306"/>
      <c r="V32" s="306"/>
      <c r="W32" s="306"/>
      <c r="X32" s="306"/>
      <c r="Y32" s="306"/>
      <c r="Z32" s="306"/>
    </row>
    <row r="33" spans="1:26" s="871" customFormat="1">
      <c r="A33" s="915"/>
      <c r="B33" s="406" t="s">
        <v>416</v>
      </c>
      <c r="C33" s="696">
        <f>'2'!L33</f>
        <v>505.07206153763786</v>
      </c>
      <c r="D33" s="696">
        <f>'19'!E33</f>
        <v>2253.4754747883744</v>
      </c>
      <c r="E33" s="696">
        <f>'19'!F33</f>
        <v>916.29535410378253</v>
      </c>
      <c r="F33" s="695">
        <f>'1'!M33+'19'!G33+'19'!H33+'19'!I33+'19'!J33+0.1</f>
        <v>10774.624089243369</v>
      </c>
      <c r="G33" s="674">
        <f>'1'!L33+'19'!C33+'19'!D33-0.05</f>
        <v>1241.4259631750299</v>
      </c>
      <c r="H33" s="674">
        <f>C33+D33+0.01</f>
        <v>2758.5575363260123</v>
      </c>
      <c r="I33" s="675">
        <f t="shared" si="9"/>
        <v>14449.476979673163</v>
      </c>
      <c r="J33" s="688">
        <f t="shared" si="10"/>
        <v>15690.902942848194</v>
      </c>
      <c r="K33" s="688">
        <f>'1'!J33+'1'!K33</f>
        <v>5172.3</v>
      </c>
      <c r="L33" s="995"/>
      <c r="M33" s="995"/>
      <c r="N33" s="995"/>
      <c r="O33" s="306"/>
      <c r="P33" s="306"/>
      <c r="Q33" s="306"/>
      <c r="R33" s="306"/>
      <c r="S33" s="306"/>
      <c r="T33" s="306"/>
      <c r="U33" s="306"/>
      <c r="V33" s="306"/>
      <c r="W33" s="306"/>
      <c r="X33" s="306"/>
      <c r="Y33" s="306"/>
      <c r="Z33" s="306"/>
    </row>
    <row r="34" spans="1:26" s="871" customFormat="1">
      <c r="A34" s="915"/>
      <c r="B34" s="406" t="s">
        <v>417</v>
      </c>
      <c r="C34" s="696">
        <f>'2'!L34</f>
        <v>511.47851393985911</v>
      </c>
      <c r="D34" s="696">
        <f>'19'!E34</f>
        <v>2275.5877113516635</v>
      </c>
      <c r="E34" s="696">
        <f>'19'!F34</f>
        <v>868.13153155032103</v>
      </c>
      <c r="F34" s="695">
        <f>'1'!M34+'19'!G34+'19'!H34+'19'!I34+'19'!J34</f>
        <v>10743.766682493722</v>
      </c>
      <c r="G34" s="674">
        <f>'1'!L34+'19'!C34+'19'!D34+0.06</f>
        <v>1500.6929746786798</v>
      </c>
      <c r="H34" s="674">
        <f t="shared" ref="H34:H38" si="11">C34+D34</f>
        <v>2787.0662252915226</v>
      </c>
      <c r="I34" s="675">
        <f t="shared" si="9"/>
        <v>14398.964439335567</v>
      </c>
      <c r="J34" s="688">
        <f t="shared" ref="J34" si="12">G34+I34</f>
        <v>15899.657414014246</v>
      </c>
      <c r="K34" s="688">
        <f>'1'!J34+'1'!K34</f>
        <v>5080.6000000000004</v>
      </c>
      <c r="L34" s="995"/>
      <c r="M34" s="995"/>
      <c r="N34" s="995"/>
      <c r="O34" s="306"/>
      <c r="P34" s="306"/>
      <c r="Q34" s="306"/>
      <c r="R34" s="306"/>
      <c r="S34" s="306"/>
      <c r="T34" s="306"/>
      <c r="U34" s="306"/>
      <c r="V34" s="306"/>
      <c r="W34" s="306"/>
      <c r="X34" s="306"/>
      <c r="Y34" s="306"/>
      <c r="Z34" s="306"/>
    </row>
    <row r="35" spans="1:26" s="871" customFormat="1">
      <c r="A35" s="915"/>
      <c r="B35" s="406" t="s">
        <v>418</v>
      </c>
      <c r="C35" s="696">
        <f>'2'!L35</f>
        <v>501.40871555448211</v>
      </c>
      <c r="D35" s="696">
        <f>'19'!E35</f>
        <v>2317.3070501580814</v>
      </c>
      <c r="E35" s="696">
        <f>'19'!F35</f>
        <v>891.07439294211611</v>
      </c>
      <c r="F35" s="695">
        <f>'1'!M35+'19'!G35+'19'!H35+'19'!I35+'19'!J35-0.02</f>
        <v>10681.140723307528</v>
      </c>
      <c r="G35" s="674">
        <f>'1'!L35+'19'!C35+'19'!D35</f>
        <v>1557.1964844574597</v>
      </c>
      <c r="H35" s="674">
        <f t="shared" si="11"/>
        <v>2818.7157657125636</v>
      </c>
      <c r="I35" s="675">
        <f t="shared" si="9"/>
        <v>14390.930881962209</v>
      </c>
      <c r="J35" s="688">
        <f t="shared" ref="J35" si="13">G35+I35</f>
        <v>15948.127366419669</v>
      </c>
      <c r="K35" s="688">
        <f>'1'!J35+'1'!K35</f>
        <v>5137.2</v>
      </c>
      <c r="L35" s="995"/>
      <c r="M35" s="995"/>
      <c r="N35" s="995"/>
      <c r="O35" s="306"/>
      <c r="P35" s="306"/>
      <c r="Q35" s="306"/>
      <c r="R35" s="306"/>
      <c r="S35" s="306"/>
      <c r="T35" s="306"/>
      <c r="U35" s="306"/>
      <c r="V35" s="306"/>
      <c r="W35" s="306"/>
      <c r="X35" s="306"/>
      <c r="Y35" s="306"/>
      <c r="Z35" s="306"/>
    </row>
    <row r="36" spans="1:26" s="871" customFormat="1">
      <c r="A36" s="915"/>
      <c r="B36" s="406" t="s">
        <v>419</v>
      </c>
      <c r="C36" s="696">
        <f>'2'!L36</f>
        <v>527.76089129430102</v>
      </c>
      <c r="D36" s="696">
        <f>'19'!E36</f>
        <v>2287.1110622440528</v>
      </c>
      <c r="E36" s="696">
        <f>'19'!F36</f>
        <v>840.25311634417187</v>
      </c>
      <c r="F36" s="695">
        <f>'1'!M36+'19'!G36+'19'!H36+'19'!I36+'19'!J36</f>
        <v>10784.0492179992</v>
      </c>
      <c r="G36" s="674">
        <f>'1'!L36+'19'!C36+'19'!D36</f>
        <v>1352.9932509842702</v>
      </c>
      <c r="H36" s="674">
        <f t="shared" si="11"/>
        <v>2814.8719535383539</v>
      </c>
      <c r="I36" s="675">
        <f t="shared" si="9"/>
        <v>14439.174287881726</v>
      </c>
      <c r="J36" s="688">
        <f t="shared" ref="J36" si="14">G36+I36</f>
        <v>15792.167538865997</v>
      </c>
      <c r="K36" s="688">
        <f>'1'!J36+'1'!K36</f>
        <v>5189.9000000000005</v>
      </c>
      <c r="L36" s="995"/>
      <c r="M36" s="995"/>
      <c r="N36" s="995"/>
      <c r="O36" s="306"/>
      <c r="P36" s="306"/>
      <c r="Q36" s="306"/>
      <c r="R36" s="306"/>
      <c r="S36" s="306"/>
      <c r="T36" s="306"/>
      <c r="U36" s="306"/>
      <c r="V36" s="306"/>
      <c r="W36" s="306"/>
      <c r="X36" s="306"/>
      <c r="Y36" s="306"/>
      <c r="Z36" s="306"/>
    </row>
    <row r="37" spans="1:26" s="871" customFormat="1">
      <c r="A37" s="915"/>
      <c r="B37" s="406" t="s">
        <v>420</v>
      </c>
      <c r="C37" s="696">
        <f>'2'!L37</f>
        <v>538.33725404694235</v>
      </c>
      <c r="D37" s="696">
        <f>'19'!E37</f>
        <v>2261.4105805440267</v>
      </c>
      <c r="E37" s="696">
        <f>'19'!F37</f>
        <v>969.81171524381875</v>
      </c>
      <c r="F37" s="695">
        <f>'1'!M37+'19'!G37+'19'!H37+'19'!I37+'19'!J37</f>
        <v>10920.807050660442</v>
      </c>
      <c r="G37" s="674">
        <f>'1'!L37+'19'!C37+'19'!D37</f>
        <v>1325.7880142105</v>
      </c>
      <c r="H37" s="674">
        <f t="shared" si="11"/>
        <v>2799.747834590969</v>
      </c>
      <c r="I37" s="675">
        <f>E37+F37+H37-0.03</f>
        <v>14690.33660049523</v>
      </c>
      <c r="J37" s="688">
        <f t="shared" ref="J37" si="15">G37+I37</f>
        <v>16016.12461470573</v>
      </c>
      <c r="K37" s="688">
        <f>'1'!J37+'1'!K37</f>
        <v>5651.1</v>
      </c>
      <c r="L37" s="995"/>
      <c r="M37" s="995"/>
      <c r="N37" s="995"/>
      <c r="O37" s="306"/>
      <c r="P37" s="306"/>
      <c r="Q37" s="306"/>
      <c r="R37" s="306"/>
      <c r="S37" s="306"/>
      <c r="T37" s="306"/>
      <c r="U37" s="306"/>
      <c r="V37" s="306"/>
      <c r="W37" s="306"/>
      <c r="X37" s="306"/>
      <c r="Y37" s="306"/>
      <c r="Z37" s="306"/>
    </row>
    <row r="38" spans="1:26" s="871" customFormat="1">
      <c r="A38" s="915"/>
      <c r="B38" s="406" t="s">
        <v>421</v>
      </c>
      <c r="C38" s="696">
        <f>'2'!L38</f>
        <v>525.24800483873355</v>
      </c>
      <c r="D38" s="696">
        <f>'19'!E38</f>
        <v>2266.0568746977533</v>
      </c>
      <c r="E38" s="696">
        <f>'19'!F38</f>
        <v>1082.0910318453437</v>
      </c>
      <c r="F38" s="695">
        <f>'1'!M38+'19'!G38+'19'!H38+'19'!I38+'19'!J38-0.02</f>
        <v>10881.638022759647</v>
      </c>
      <c r="G38" s="674">
        <f>'1'!L38+'19'!C38+'19'!D38+0.05</f>
        <v>1317.0720039995599</v>
      </c>
      <c r="H38" s="674">
        <f t="shared" si="11"/>
        <v>2791.3048795364866</v>
      </c>
      <c r="I38" s="675">
        <f>E38+F38+H38</f>
        <v>14755.033934141478</v>
      </c>
      <c r="J38" s="688">
        <f t="shared" ref="J38" si="16">G38+I38</f>
        <v>16072.105938141038</v>
      </c>
      <c r="K38" s="688">
        <f>'1'!J38+'1'!K38</f>
        <v>5678</v>
      </c>
      <c r="L38" s="995"/>
      <c r="M38" s="995"/>
      <c r="N38" s="995"/>
      <c r="O38" s="306"/>
      <c r="P38" s="306"/>
      <c r="Q38" s="306"/>
      <c r="R38" s="306"/>
      <c r="S38" s="306"/>
      <c r="T38" s="306"/>
      <c r="U38" s="306"/>
      <c r="V38" s="306"/>
      <c r="W38" s="306"/>
      <c r="X38" s="306"/>
      <c r="Y38" s="306"/>
      <c r="Z38" s="306"/>
    </row>
    <row r="39" spans="1:26" s="871" customFormat="1">
      <c r="A39" s="915"/>
      <c r="B39" s="406" t="s">
        <v>422</v>
      </c>
      <c r="C39" s="696">
        <f>'2'!L39</f>
        <v>549.3591265344561</v>
      </c>
      <c r="D39" s="696">
        <f>'19'!E39</f>
        <v>2290.771098676305</v>
      </c>
      <c r="E39" s="696">
        <f>'19'!F39</f>
        <v>1181.70067874549</v>
      </c>
      <c r="F39" s="695">
        <f>'1'!M39+'19'!G39+'19'!H39+'19'!I39+'19'!J39</f>
        <v>10805.389886067735</v>
      </c>
      <c r="G39" s="674">
        <f>'1'!L39+'19'!C39+'19'!D39</f>
        <v>1620.5421867328801</v>
      </c>
      <c r="H39" s="674">
        <f>C39+D39+0.03</f>
        <v>2840.1602252107614</v>
      </c>
      <c r="I39" s="675">
        <f>E39+F39+H39+0.05</f>
        <v>14827.300790023986</v>
      </c>
      <c r="J39" s="688">
        <f>G39+I39</f>
        <v>16447.842976756867</v>
      </c>
      <c r="K39" s="688">
        <f>'1'!J39+'1'!K39</f>
        <v>5955.7</v>
      </c>
      <c r="L39" s="995"/>
      <c r="M39" s="995"/>
      <c r="N39" s="995"/>
      <c r="O39" s="306"/>
      <c r="P39" s="306"/>
      <c r="Q39" s="306"/>
      <c r="R39" s="306"/>
      <c r="S39" s="306"/>
      <c r="T39" s="306"/>
      <c r="U39" s="306"/>
      <c r="V39" s="306"/>
      <c r="W39" s="306"/>
      <c r="X39" s="306"/>
      <c r="Y39" s="306"/>
      <c r="Z39" s="306"/>
    </row>
    <row r="40" spans="1:26" s="871" customFormat="1">
      <c r="A40" s="915"/>
      <c r="B40" s="406" t="s">
        <v>423</v>
      </c>
      <c r="C40" s="696">
        <f>'2'!L40</f>
        <v>544.35395613812079</v>
      </c>
      <c r="D40" s="696">
        <f>'19'!E40</f>
        <v>2356.7583426634824</v>
      </c>
      <c r="E40" s="696">
        <f>'19'!F40</f>
        <v>940.50855098862485</v>
      </c>
      <c r="F40" s="695">
        <f>'1'!M40+'19'!G40+'19'!H40+'19'!I40+'19'!J40</f>
        <v>11292.641632168004</v>
      </c>
      <c r="G40" s="674">
        <f>'1'!L40+'19'!C40+'19'!D40</f>
        <v>1491.8550166627801</v>
      </c>
      <c r="H40" s="674">
        <f>C40+D40+0.07</f>
        <v>2901.1822988016033</v>
      </c>
      <c r="I40" s="675">
        <f>E40+F40+H40</f>
        <v>15134.332481958232</v>
      </c>
      <c r="J40" s="688">
        <f>G40+I40</f>
        <v>16626.187498621013</v>
      </c>
      <c r="K40" s="688">
        <f>'1'!J40+'1'!K40</f>
        <v>6113.8</v>
      </c>
      <c r="L40" s="995"/>
      <c r="M40" s="995"/>
      <c r="N40" s="995"/>
      <c r="O40" s="306"/>
      <c r="P40" s="306"/>
      <c r="Q40" s="306"/>
      <c r="R40" s="306"/>
      <c r="S40" s="306"/>
      <c r="T40" s="306"/>
      <c r="U40" s="306"/>
      <c r="V40" s="306"/>
      <c r="W40" s="306"/>
      <c r="X40" s="306"/>
      <c r="Y40" s="306"/>
      <c r="Z40" s="306"/>
    </row>
    <row r="41" spans="1:26" s="871" customFormat="1">
      <c r="A41" s="915"/>
      <c r="B41" s="406" t="s">
        <v>424</v>
      </c>
      <c r="C41" s="696">
        <f>'2'!L41</f>
        <v>549.72463244767278</v>
      </c>
      <c r="D41" s="696">
        <f>'19'!E41</f>
        <v>2307.0858458332928</v>
      </c>
      <c r="E41" s="696">
        <f>'19'!F41</f>
        <v>883.52237223249381</v>
      </c>
      <c r="F41" s="695">
        <f>'1'!M41+'19'!G41+'19'!H41+'19'!I41+'19'!J41</f>
        <v>11183.431487795177</v>
      </c>
      <c r="G41" s="674">
        <f>'1'!L41+'19'!C41+'19'!D41</f>
        <v>1535.4936910643198</v>
      </c>
      <c r="H41" s="674">
        <f>C41+D41</f>
        <v>2856.8104782809655</v>
      </c>
      <c r="I41" s="675">
        <f>E41+F41+H41-0.02</f>
        <v>14923.744338308636</v>
      </c>
      <c r="J41" s="688">
        <f>G41+I41</f>
        <v>16459.238029372955</v>
      </c>
      <c r="K41" s="688">
        <f>'1'!J41+'1'!K41</f>
        <v>6027.5</v>
      </c>
      <c r="L41" s="995"/>
      <c r="M41" s="995"/>
      <c r="N41" s="995"/>
      <c r="O41" s="306"/>
      <c r="P41" s="306"/>
      <c r="Q41" s="306"/>
      <c r="R41" s="306"/>
      <c r="S41" s="306"/>
      <c r="T41" s="306"/>
      <c r="U41" s="306"/>
      <c r="V41" s="306"/>
      <c r="W41" s="306"/>
      <c r="X41" s="306"/>
      <c r="Y41" s="306"/>
      <c r="Z41" s="306"/>
    </row>
    <row r="42" spans="1:26" s="871" customFormat="1">
      <c r="A42" s="915"/>
      <c r="B42" s="406" t="s">
        <v>425</v>
      </c>
      <c r="C42" s="696">
        <f>'2'!L42</f>
        <v>544.0178763751926</v>
      </c>
      <c r="D42" s="696">
        <f>'19'!E42</f>
        <v>2333.2581692842655</v>
      </c>
      <c r="E42" s="696">
        <f>'19'!F42</f>
        <v>793.00836846455445</v>
      </c>
      <c r="F42" s="695">
        <f>'1'!M42+'19'!G42+'19'!H42+'19'!I42+'19'!J42</f>
        <v>11107.088515184367</v>
      </c>
      <c r="G42" s="674">
        <f>'1'!L42+'19'!C42+'19'!D42</f>
        <v>1486.4117725569097</v>
      </c>
      <c r="H42" s="674">
        <f>C42+D42</f>
        <v>2877.2760456594578</v>
      </c>
      <c r="I42" s="675">
        <f>E42+F42+H42</f>
        <v>14777.372929308378</v>
      </c>
      <c r="J42" s="688">
        <f>G42+I42</f>
        <v>16263.784701865288</v>
      </c>
      <c r="K42" s="688">
        <f>'1'!J42+'1'!K42</f>
        <v>6027.7</v>
      </c>
      <c r="L42" s="995"/>
      <c r="M42" s="995"/>
      <c r="N42" s="995"/>
      <c r="O42" s="306"/>
      <c r="P42" s="306"/>
      <c r="Q42" s="306"/>
      <c r="R42" s="306"/>
      <c r="S42" s="306"/>
      <c r="T42" s="306"/>
      <c r="U42" s="306"/>
      <c r="V42" s="306"/>
      <c r="W42" s="306"/>
      <c r="X42" s="306"/>
      <c r="Y42" s="306"/>
      <c r="Z42" s="306"/>
    </row>
    <row r="43" spans="1:26" s="871" customFormat="1">
      <c r="A43" s="915"/>
      <c r="B43" s="406" t="s">
        <v>426</v>
      </c>
      <c r="C43" s="696">
        <f>'2'!L43</f>
        <v>533.99727991581972</v>
      </c>
      <c r="D43" s="696">
        <f>'19'!E43</f>
        <v>2399.5337979070973</v>
      </c>
      <c r="E43" s="696">
        <f>'19'!F43</f>
        <v>864.35137019574063</v>
      </c>
      <c r="F43" s="695">
        <f>'1'!M43+'19'!G43+'19'!H43+'19'!I43+'19'!J43</f>
        <v>10949.600158205034</v>
      </c>
      <c r="G43" s="674">
        <f>'1'!L43+'19'!C43+'19'!D43</f>
        <v>1472.8992935549791</v>
      </c>
      <c r="H43" s="674">
        <f>C43+D43</f>
        <v>2933.5310778229168</v>
      </c>
      <c r="I43" s="675">
        <f>E43+F43+H43</f>
        <v>14747.48260622369</v>
      </c>
      <c r="J43" s="688">
        <f>G43+I43</f>
        <v>16220.381899778669</v>
      </c>
      <c r="K43" s="688">
        <f>'1'!J43+'1'!K43</f>
        <v>5445.7</v>
      </c>
      <c r="L43" s="995"/>
      <c r="M43" s="995"/>
      <c r="N43" s="995"/>
      <c r="O43" s="306"/>
      <c r="P43" s="306"/>
      <c r="Q43" s="306"/>
      <c r="R43" s="306"/>
      <c r="S43" s="306"/>
      <c r="T43" s="306"/>
      <c r="U43" s="306"/>
      <c r="V43" s="306"/>
      <c r="W43" s="306"/>
      <c r="X43" s="306"/>
      <c r="Y43" s="306"/>
      <c r="Z43" s="306"/>
    </row>
    <row r="44" spans="1:26" s="939" customFormat="1" ht="19.5" customHeight="1">
      <c r="A44" s="221" t="s">
        <v>487</v>
      </c>
      <c r="B44" s="221"/>
      <c r="C44" s="221"/>
      <c r="D44" s="221"/>
      <c r="E44" s="221"/>
      <c r="F44" s="221"/>
      <c r="G44" s="220"/>
      <c r="H44" s="937"/>
      <c r="I44" s="221"/>
      <c r="J44" s="938"/>
      <c r="K44" s="938" t="s">
        <v>488</v>
      </c>
    </row>
    <row r="45" spans="1:26" s="939" customFormat="1" ht="13.7" customHeight="1">
      <c r="A45" s="939" t="s">
        <v>489</v>
      </c>
      <c r="G45" s="25"/>
      <c r="J45" s="940"/>
      <c r="K45" s="940" t="s">
        <v>490</v>
      </c>
    </row>
    <row r="46" spans="1:26" s="939" customFormat="1" ht="13.7" customHeight="1">
      <c r="A46" s="939" t="s">
        <v>491</v>
      </c>
      <c r="G46" s="25"/>
      <c r="J46" s="940"/>
      <c r="K46" s="940" t="s">
        <v>492</v>
      </c>
    </row>
    <row r="47" spans="1:26">
      <c r="C47" s="600"/>
      <c r="D47" s="600"/>
      <c r="E47" s="600"/>
      <c r="F47" s="600"/>
      <c r="G47" s="600"/>
      <c r="H47" s="600"/>
      <c r="I47" s="600"/>
      <c r="J47" s="600"/>
      <c r="K47" s="600"/>
    </row>
    <row r="48" spans="1:26">
      <c r="A48" s="317" t="s">
        <v>493</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B12" sqref="B12"/>
      <selection pane="bottomLeft" activeCell="M42" sqref="M42"/>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437" t="s">
        <v>1739</v>
      </c>
      <c r="B1" s="831"/>
      <c r="C1" s="831"/>
      <c r="D1" s="831"/>
      <c r="E1" s="831"/>
      <c r="F1" s="831"/>
      <c r="G1" s="831"/>
      <c r="H1" s="831"/>
      <c r="I1" s="831"/>
      <c r="J1" s="831"/>
      <c r="K1" s="831"/>
      <c r="L1" s="831"/>
      <c r="M1" s="831"/>
    </row>
    <row r="2" spans="1:22" ht="18">
      <c r="A2" s="1437" t="s">
        <v>1571</v>
      </c>
      <c r="B2" s="831"/>
      <c r="C2" s="831"/>
      <c r="D2" s="831"/>
      <c r="E2" s="831"/>
      <c r="F2" s="831"/>
      <c r="G2" s="831"/>
      <c r="H2" s="831"/>
      <c r="I2" s="831"/>
      <c r="J2" s="831"/>
      <c r="K2" s="831"/>
      <c r="L2" s="831"/>
      <c r="M2" s="831"/>
    </row>
    <row r="3" spans="1:22" ht="16.5">
      <c r="A3" s="1438" t="s">
        <v>1572</v>
      </c>
      <c r="B3" s="483"/>
      <c r="C3" s="483"/>
      <c r="D3" s="483"/>
      <c r="E3" s="483"/>
      <c r="F3" s="483"/>
      <c r="G3" s="483"/>
      <c r="H3" s="483"/>
      <c r="I3" s="483"/>
      <c r="J3" s="483"/>
      <c r="K3" s="483"/>
      <c r="L3" s="483"/>
      <c r="M3" s="483"/>
    </row>
    <row r="4" spans="1:22" ht="16.5" hidden="1">
      <c r="A4" s="1438"/>
      <c r="B4" s="483"/>
      <c r="C4" s="483"/>
      <c r="D4" s="483"/>
      <c r="E4" s="483"/>
      <c r="F4" s="483"/>
      <c r="G4" s="483"/>
      <c r="H4" s="483"/>
      <c r="I4" s="483"/>
      <c r="J4" s="483"/>
      <c r="K4" s="483"/>
      <c r="L4" s="483"/>
      <c r="M4" s="483"/>
    </row>
    <row r="5" spans="1:22" ht="16.5" hidden="1">
      <c r="A5" s="1438"/>
      <c r="B5" s="483"/>
      <c r="C5" s="483"/>
      <c r="D5" s="483"/>
      <c r="E5" s="483"/>
      <c r="F5" s="483"/>
      <c r="G5" s="483"/>
      <c r="H5" s="483"/>
      <c r="I5" s="483"/>
      <c r="J5" s="483"/>
      <c r="K5" s="483"/>
      <c r="L5" s="483"/>
      <c r="M5" s="483"/>
    </row>
    <row r="6" spans="1:22" ht="16.5" hidden="1">
      <c r="A6" s="1438"/>
      <c r="B6" s="483"/>
      <c r="C6" s="483"/>
      <c r="D6" s="483"/>
      <c r="E6" s="483"/>
      <c r="F6" s="483"/>
      <c r="G6" s="483"/>
      <c r="H6" s="483"/>
      <c r="I6" s="483"/>
      <c r="J6" s="483"/>
      <c r="K6" s="483"/>
      <c r="L6" s="483"/>
      <c r="M6" s="483"/>
    </row>
    <row r="7" spans="1:22" ht="0.6" customHeight="1">
      <c r="A7" s="1438"/>
      <c r="B7" s="483"/>
      <c r="C7" s="483"/>
      <c r="D7" s="483"/>
      <c r="E7" s="483"/>
      <c r="F7" s="483"/>
      <c r="G7" s="483"/>
      <c r="H7" s="483"/>
      <c r="I7" s="483"/>
      <c r="J7" s="483"/>
      <c r="K7" s="483"/>
      <c r="L7" s="483"/>
      <c r="M7" s="483"/>
    </row>
    <row r="8" spans="1:22" s="448" customFormat="1" ht="14.85" customHeight="1">
      <c r="A8" s="521" t="s">
        <v>1573</v>
      </c>
      <c r="B8" s="446"/>
      <c r="C8" s="447"/>
      <c r="D8" s="447"/>
      <c r="E8" s="447"/>
      <c r="F8" s="447"/>
      <c r="G8" s="447"/>
      <c r="H8" s="447"/>
      <c r="I8" s="447"/>
      <c r="J8" s="447"/>
      <c r="K8" s="447"/>
      <c r="L8" s="447"/>
      <c r="M8" s="522" t="s">
        <v>1574</v>
      </c>
    </row>
    <row r="9" spans="1:22" s="527" customFormat="1" ht="15.95" customHeight="1">
      <c r="A9" s="523"/>
      <c r="B9" s="524"/>
      <c r="C9" s="525"/>
      <c r="D9" s="525"/>
      <c r="E9" s="486" t="s">
        <v>1575</v>
      </c>
      <c r="F9" s="486" t="s">
        <v>1575</v>
      </c>
      <c r="G9" s="958"/>
      <c r="H9" s="959"/>
      <c r="I9" s="525"/>
      <c r="J9" s="525"/>
      <c r="K9" s="486" t="s">
        <v>1576</v>
      </c>
      <c r="L9" s="525"/>
      <c r="M9" s="526"/>
    </row>
    <row r="10" spans="1:22" s="487" customFormat="1" ht="15">
      <c r="A10" s="528" t="s">
        <v>1535</v>
      </c>
      <c r="B10" s="529"/>
      <c r="C10" s="530" t="s">
        <v>1577</v>
      </c>
      <c r="D10" s="530" t="s">
        <v>1578</v>
      </c>
      <c r="E10" s="530" t="s">
        <v>1579</v>
      </c>
      <c r="F10" s="530" t="s">
        <v>1580</v>
      </c>
      <c r="G10" s="530" t="s">
        <v>1581</v>
      </c>
      <c r="H10" s="530" t="s">
        <v>1290</v>
      </c>
      <c r="I10" s="530" t="s">
        <v>1582</v>
      </c>
      <c r="J10" s="530" t="s">
        <v>1583</v>
      </c>
      <c r="K10" s="530" t="s">
        <v>1584</v>
      </c>
      <c r="L10" s="530" t="s">
        <v>1585</v>
      </c>
      <c r="M10" s="530" t="s">
        <v>386</v>
      </c>
    </row>
    <row r="11" spans="1:22" s="487" customFormat="1" ht="15">
      <c r="A11" s="490" t="s">
        <v>1543</v>
      </c>
      <c r="B11" s="529"/>
      <c r="C11" s="493" t="s">
        <v>1586</v>
      </c>
      <c r="D11" s="493" t="s">
        <v>1587</v>
      </c>
      <c r="E11" s="493" t="s">
        <v>1588</v>
      </c>
      <c r="F11" s="493" t="s">
        <v>1588</v>
      </c>
      <c r="G11" s="493" t="s">
        <v>1589</v>
      </c>
      <c r="H11" s="493" t="s">
        <v>1590</v>
      </c>
      <c r="I11" s="493" t="s">
        <v>1591</v>
      </c>
      <c r="J11" s="493" t="s">
        <v>1592</v>
      </c>
      <c r="K11" s="493" t="s">
        <v>1593</v>
      </c>
      <c r="L11" s="493" t="s">
        <v>1594</v>
      </c>
      <c r="M11" s="493" t="s">
        <v>397</v>
      </c>
    </row>
    <row r="12" spans="1:22" s="487" customFormat="1" ht="15">
      <c r="A12" s="531"/>
      <c r="B12" s="532"/>
      <c r="C12" s="533"/>
      <c r="D12" s="533"/>
      <c r="E12" s="533" t="s">
        <v>1595</v>
      </c>
      <c r="F12" s="533" t="s">
        <v>1596</v>
      </c>
      <c r="G12" s="533"/>
      <c r="H12" s="533" t="s">
        <v>1597</v>
      </c>
      <c r="I12" s="533" t="s">
        <v>1598</v>
      </c>
      <c r="J12" s="533" t="s">
        <v>1554</v>
      </c>
      <c r="K12" s="534" t="s">
        <v>953</v>
      </c>
      <c r="L12" s="534" t="s">
        <v>1541</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8"/>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8"/>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8"/>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8"/>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8"/>
      <c r="O20" s="866"/>
      <c r="P20" s="866"/>
      <c r="Q20" s="866"/>
      <c r="R20" s="866"/>
      <c r="S20" s="866"/>
      <c r="T20" s="866"/>
      <c r="U20" s="866"/>
      <c r="V20" s="866"/>
    </row>
    <row r="21" spans="1:22" ht="20.25" customHeight="1">
      <c r="A21" s="875">
        <v>2023</v>
      </c>
      <c r="B21" s="542"/>
      <c r="C21" s="735">
        <f t="shared" ref="C21:L21" si="0">SUM(C23:C26)</f>
        <v>72832</v>
      </c>
      <c r="D21" s="735">
        <f t="shared" si="0"/>
        <v>3977</v>
      </c>
      <c r="E21" s="735">
        <f t="shared" si="0"/>
        <v>3621</v>
      </c>
      <c r="F21" s="735">
        <f t="shared" si="0"/>
        <v>482</v>
      </c>
      <c r="G21" s="735">
        <f t="shared" si="0"/>
        <v>97308</v>
      </c>
      <c r="H21" s="735">
        <f t="shared" si="0"/>
        <v>12823</v>
      </c>
      <c r="I21" s="735">
        <f t="shared" si="0"/>
        <v>1674</v>
      </c>
      <c r="J21" s="735">
        <f t="shared" si="0"/>
        <v>1913</v>
      </c>
      <c r="K21" s="735">
        <f t="shared" si="0"/>
        <v>15609</v>
      </c>
      <c r="L21" s="735">
        <f t="shared" si="0"/>
        <v>0</v>
      </c>
      <c r="M21" s="539">
        <f t="shared" ref="M21" si="1">SUM(C21:L21)</f>
        <v>210239</v>
      </c>
      <c r="N21" s="1008"/>
      <c r="O21" s="866"/>
      <c r="P21" s="866"/>
      <c r="Q21" s="866"/>
      <c r="R21" s="866"/>
      <c r="S21" s="866"/>
      <c r="T21" s="866"/>
      <c r="U21" s="866"/>
      <c r="V21" s="866"/>
    </row>
    <row r="22" spans="1:22" ht="20.25" customHeight="1">
      <c r="A22" s="1009">
        <v>2024</v>
      </c>
      <c r="B22" s="780"/>
      <c r="C22" s="796">
        <f t="shared" ref="C22:L22" si="2">SUM(C27:C30)</f>
        <v>62089</v>
      </c>
      <c r="D22" s="796">
        <f t="shared" si="2"/>
        <v>2296</v>
      </c>
      <c r="E22" s="796">
        <f t="shared" si="2"/>
        <v>5149</v>
      </c>
      <c r="F22" s="796">
        <f t="shared" si="2"/>
        <v>1057</v>
      </c>
      <c r="G22" s="796">
        <f t="shared" si="2"/>
        <v>211400</v>
      </c>
      <c r="H22" s="796">
        <f t="shared" si="2"/>
        <v>8757</v>
      </c>
      <c r="I22" s="796">
        <f t="shared" si="2"/>
        <v>11495</v>
      </c>
      <c r="J22" s="796">
        <f t="shared" si="2"/>
        <v>6308</v>
      </c>
      <c r="K22" s="796">
        <f t="shared" si="2"/>
        <v>11248</v>
      </c>
      <c r="L22" s="796">
        <f t="shared" si="2"/>
        <v>0</v>
      </c>
      <c r="M22" s="1010">
        <f t="shared" ref="M22" si="3">SUM(C22:L22)</f>
        <v>319799</v>
      </c>
      <c r="N22" s="1008"/>
      <c r="O22" s="866"/>
      <c r="P22" s="866"/>
      <c r="Q22" s="866"/>
      <c r="R22" s="866"/>
      <c r="S22" s="866"/>
      <c r="T22" s="866"/>
      <c r="U22" s="866"/>
      <c r="V22" s="866"/>
    </row>
    <row r="23" spans="1:22" ht="21" customHeight="1">
      <c r="A23" s="875">
        <v>2023</v>
      </c>
      <c r="B23" s="542" t="s">
        <v>243</v>
      </c>
      <c r="C23" s="735">
        <v>29452</v>
      </c>
      <c r="D23" s="735">
        <v>1392</v>
      </c>
      <c r="E23" s="735">
        <v>801</v>
      </c>
      <c r="F23" s="735">
        <v>195</v>
      </c>
      <c r="G23" s="735">
        <v>21684</v>
      </c>
      <c r="H23" s="735">
        <v>2237</v>
      </c>
      <c r="I23" s="735">
        <v>361</v>
      </c>
      <c r="J23" s="735">
        <v>1913</v>
      </c>
      <c r="K23" s="735">
        <v>7004</v>
      </c>
      <c r="L23" s="735">
        <v>0</v>
      </c>
      <c r="M23" s="539">
        <v>65039</v>
      </c>
      <c r="N23" s="1008"/>
      <c r="O23" s="866"/>
      <c r="P23" s="866"/>
      <c r="Q23" s="866"/>
      <c r="R23" s="866"/>
      <c r="S23" s="866"/>
      <c r="T23" s="866"/>
      <c r="U23" s="866"/>
      <c r="V23" s="866"/>
    </row>
    <row r="24" spans="1:22" ht="16.5" customHeight="1">
      <c r="A24" s="875"/>
      <c r="B24" s="542" t="s">
        <v>244</v>
      </c>
      <c r="C24" s="735">
        <v>20972</v>
      </c>
      <c r="D24" s="735">
        <v>1155</v>
      </c>
      <c r="E24" s="735">
        <v>1379</v>
      </c>
      <c r="F24" s="735">
        <v>69</v>
      </c>
      <c r="G24" s="735">
        <v>21558</v>
      </c>
      <c r="H24" s="735">
        <v>5162</v>
      </c>
      <c r="I24" s="735">
        <v>593</v>
      </c>
      <c r="J24" s="735">
        <v>0</v>
      </c>
      <c r="K24" s="735">
        <v>3379</v>
      </c>
      <c r="L24" s="735">
        <v>0</v>
      </c>
      <c r="M24" s="539">
        <v>54267</v>
      </c>
      <c r="N24" s="1440"/>
      <c r="O24" s="950"/>
      <c r="P24" s="866"/>
      <c r="Q24" s="866"/>
      <c r="R24" s="866"/>
      <c r="S24" s="866"/>
      <c r="T24" s="866"/>
      <c r="U24" s="866"/>
      <c r="V24" s="866"/>
    </row>
    <row r="25" spans="1:22" ht="16.5" customHeight="1">
      <c r="A25" s="875"/>
      <c r="B25" s="542" t="s">
        <v>245</v>
      </c>
      <c r="C25" s="1441">
        <v>9536</v>
      </c>
      <c r="D25" s="735">
        <v>743</v>
      </c>
      <c r="E25" s="1442">
        <v>824</v>
      </c>
      <c r="F25" s="735">
        <v>170</v>
      </c>
      <c r="G25" s="735">
        <v>22719</v>
      </c>
      <c r="H25" s="735">
        <v>3208</v>
      </c>
      <c r="I25" s="735">
        <v>471</v>
      </c>
      <c r="J25" s="735">
        <v>0</v>
      </c>
      <c r="K25" s="735">
        <v>3049</v>
      </c>
      <c r="L25" s="735">
        <v>0</v>
      </c>
      <c r="M25" s="539">
        <v>40720</v>
      </c>
      <c r="N25" s="1440"/>
      <c r="O25" s="950"/>
      <c r="P25" s="866"/>
      <c r="Q25" s="866"/>
      <c r="R25" s="866"/>
      <c r="S25" s="866"/>
      <c r="T25" s="866"/>
      <c r="U25" s="866"/>
      <c r="V25" s="866"/>
    </row>
    <row r="26" spans="1:22" ht="16.5" customHeight="1">
      <c r="A26" s="875"/>
      <c r="B26" s="542" t="s">
        <v>242</v>
      </c>
      <c r="C26" s="735">
        <v>12872</v>
      </c>
      <c r="D26" s="735">
        <v>687</v>
      </c>
      <c r="E26" s="735">
        <v>617</v>
      </c>
      <c r="F26" s="735">
        <v>48</v>
      </c>
      <c r="G26" s="735">
        <v>31347</v>
      </c>
      <c r="H26" s="735">
        <v>2216</v>
      </c>
      <c r="I26" s="735">
        <v>249</v>
      </c>
      <c r="J26" s="735">
        <v>0</v>
      </c>
      <c r="K26" s="735">
        <v>2177</v>
      </c>
      <c r="L26" s="735">
        <v>0</v>
      </c>
      <c r="M26" s="539">
        <v>50213</v>
      </c>
      <c r="N26" s="1440"/>
      <c r="O26" s="950"/>
      <c r="P26" s="866"/>
      <c r="Q26" s="866"/>
      <c r="R26" s="866"/>
      <c r="S26" s="866"/>
      <c r="T26" s="866"/>
      <c r="U26" s="866"/>
      <c r="V26" s="866"/>
    </row>
    <row r="27" spans="1:22" ht="21" customHeight="1">
      <c r="A27" s="875">
        <v>2024</v>
      </c>
      <c r="B27" s="542" t="s">
        <v>243</v>
      </c>
      <c r="C27" s="735">
        <f t="shared" ref="C27:M27" si="4">SUM(C32:C34)</f>
        <v>25280</v>
      </c>
      <c r="D27" s="735">
        <f t="shared" si="4"/>
        <v>910</v>
      </c>
      <c r="E27" s="735">
        <f t="shared" si="4"/>
        <v>553</v>
      </c>
      <c r="F27" s="735">
        <f t="shared" si="4"/>
        <v>145</v>
      </c>
      <c r="G27" s="735">
        <f t="shared" si="4"/>
        <v>52127</v>
      </c>
      <c r="H27" s="735">
        <f t="shared" si="4"/>
        <v>2611</v>
      </c>
      <c r="I27" s="735">
        <f t="shared" si="4"/>
        <v>343</v>
      </c>
      <c r="J27" s="735">
        <f t="shared" si="4"/>
        <v>0</v>
      </c>
      <c r="K27" s="735">
        <f t="shared" si="4"/>
        <v>2998</v>
      </c>
      <c r="L27" s="735">
        <f t="shared" si="4"/>
        <v>0</v>
      </c>
      <c r="M27" s="539">
        <f t="shared" si="4"/>
        <v>84967</v>
      </c>
      <c r="N27" s="1440"/>
      <c r="O27" s="950"/>
      <c r="P27" s="866"/>
      <c r="Q27" s="866"/>
      <c r="R27" s="866"/>
      <c r="S27" s="866"/>
      <c r="T27" s="866"/>
      <c r="U27" s="866"/>
      <c r="V27" s="866"/>
    </row>
    <row r="28" spans="1:22" ht="15" customHeight="1">
      <c r="A28" s="875"/>
      <c r="B28" s="542" t="s">
        <v>244</v>
      </c>
      <c r="C28" s="735">
        <f t="shared" ref="C28:M28" si="5">SUM(C35:C37)</f>
        <v>8285</v>
      </c>
      <c r="D28" s="735">
        <f t="shared" si="5"/>
        <v>346</v>
      </c>
      <c r="E28" s="735">
        <f t="shared" si="5"/>
        <v>588</v>
      </c>
      <c r="F28" s="735">
        <f t="shared" si="5"/>
        <v>440</v>
      </c>
      <c r="G28" s="735">
        <f t="shared" si="5"/>
        <v>46930</v>
      </c>
      <c r="H28" s="735">
        <f t="shared" si="5"/>
        <v>2132</v>
      </c>
      <c r="I28" s="735">
        <f t="shared" si="5"/>
        <v>9637</v>
      </c>
      <c r="J28" s="735">
        <f t="shared" si="5"/>
        <v>0</v>
      </c>
      <c r="K28" s="735">
        <f t="shared" si="5"/>
        <v>3995</v>
      </c>
      <c r="L28" s="735">
        <f t="shared" si="5"/>
        <v>0</v>
      </c>
      <c r="M28" s="539">
        <f t="shared" si="5"/>
        <v>72353</v>
      </c>
      <c r="N28" s="1440"/>
      <c r="O28" s="950"/>
      <c r="P28" s="866"/>
      <c r="Q28" s="866"/>
      <c r="R28" s="866"/>
      <c r="S28" s="866"/>
      <c r="T28" s="866"/>
      <c r="U28" s="866"/>
      <c r="V28" s="866"/>
    </row>
    <row r="29" spans="1:22" ht="15" customHeight="1">
      <c r="A29" s="875"/>
      <c r="B29" s="542" t="s">
        <v>245</v>
      </c>
      <c r="C29" s="735">
        <f t="shared" ref="C29:M29" si="6">SUM(C38:C40)</f>
        <v>16348</v>
      </c>
      <c r="D29" s="735">
        <f t="shared" si="6"/>
        <v>140</v>
      </c>
      <c r="E29" s="735">
        <f t="shared" si="6"/>
        <v>3429</v>
      </c>
      <c r="F29" s="735">
        <f t="shared" si="6"/>
        <v>94</v>
      </c>
      <c r="G29" s="735">
        <f t="shared" si="6"/>
        <v>86401</v>
      </c>
      <c r="H29" s="735">
        <f t="shared" si="6"/>
        <v>2127</v>
      </c>
      <c r="I29" s="735">
        <f t="shared" si="6"/>
        <v>1085</v>
      </c>
      <c r="J29" s="735">
        <f t="shared" si="6"/>
        <v>6308</v>
      </c>
      <c r="K29" s="735">
        <f t="shared" si="6"/>
        <v>1711</v>
      </c>
      <c r="L29" s="735">
        <f t="shared" si="6"/>
        <v>0</v>
      </c>
      <c r="M29" s="539">
        <f t="shared" si="6"/>
        <v>117643</v>
      </c>
      <c r="N29" s="1440"/>
      <c r="O29" s="950"/>
      <c r="P29" s="866"/>
      <c r="Q29" s="866"/>
      <c r="R29" s="866"/>
      <c r="S29" s="866"/>
      <c r="T29" s="866"/>
      <c r="U29" s="866"/>
      <c r="V29" s="866"/>
    </row>
    <row r="30" spans="1:22" ht="15" customHeight="1">
      <c r="A30" s="1009"/>
      <c r="B30" s="780" t="s">
        <v>242</v>
      </c>
      <c r="C30" s="796">
        <f t="shared" ref="C30:M30" si="7">SUM(C41:C43)</f>
        <v>12176</v>
      </c>
      <c r="D30" s="796">
        <f t="shared" si="7"/>
        <v>900</v>
      </c>
      <c r="E30" s="796">
        <f t="shared" si="7"/>
        <v>579</v>
      </c>
      <c r="F30" s="796">
        <f t="shared" si="7"/>
        <v>378</v>
      </c>
      <c r="G30" s="796">
        <f t="shared" si="7"/>
        <v>25942</v>
      </c>
      <c r="H30" s="796">
        <f t="shared" si="7"/>
        <v>1887</v>
      </c>
      <c r="I30" s="796">
        <f t="shared" si="7"/>
        <v>430</v>
      </c>
      <c r="J30" s="796">
        <f t="shared" si="7"/>
        <v>0</v>
      </c>
      <c r="K30" s="796">
        <f t="shared" si="7"/>
        <v>2544</v>
      </c>
      <c r="L30" s="796">
        <f t="shared" si="7"/>
        <v>0</v>
      </c>
      <c r="M30" s="1010">
        <f t="shared" si="7"/>
        <v>44836</v>
      </c>
      <c r="N30" s="1440"/>
      <c r="O30" s="950"/>
      <c r="P30" s="866"/>
      <c r="Q30" s="866"/>
      <c r="R30" s="866"/>
      <c r="S30" s="866"/>
      <c r="T30" s="866"/>
      <c r="U30" s="866"/>
      <c r="V30" s="866"/>
    </row>
    <row r="31" spans="1:22" s="866" customFormat="1" ht="21" customHeight="1">
      <c r="A31" s="875">
        <v>2023</v>
      </c>
      <c r="B31" s="876" t="s">
        <v>426</v>
      </c>
      <c r="C31" s="735">
        <v>3024</v>
      </c>
      <c r="D31" s="735">
        <v>234</v>
      </c>
      <c r="E31" s="735">
        <v>85</v>
      </c>
      <c r="F31" s="735">
        <v>33</v>
      </c>
      <c r="G31" s="735">
        <v>19234</v>
      </c>
      <c r="H31" s="735">
        <v>615</v>
      </c>
      <c r="I31" s="735">
        <v>93</v>
      </c>
      <c r="J31" s="735">
        <v>0</v>
      </c>
      <c r="K31" s="735">
        <v>349</v>
      </c>
      <c r="L31" s="735">
        <v>0</v>
      </c>
      <c r="M31" s="735">
        <v>23667</v>
      </c>
      <c r="N31" s="950"/>
      <c r="O31" s="950"/>
    </row>
    <row r="32" spans="1:22" s="866" customFormat="1" ht="21" customHeight="1">
      <c r="A32" s="875">
        <v>2024</v>
      </c>
      <c r="B32" s="876" t="s">
        <v>427</v>
      </c>
      <c r="C32" s="735">
        <v>14490</v>
      </c>
      <c r="D32" s="735">
        <v>121</v>
      </c>
      <c r="E32" s="735">
        <v>107</v>
      </c>
      <c r="F32" s="735">
        <v>74</v>
      </c>
      <c r="G32" s="539">
        <v>5969</v>
      </c>
      <c r="H32" s="735">
        <v>788</v>
      </c>
      <c r="I32" s="735">
        <v>87</v>
      </c>
      <c r="J32" s="735">
        <v>0</v>
      </c>
      <c r="K32" s="735">
        <v>2052</v>
      </c>
      <c r="L32" s="735">
        <v>0</v>
      </c>
      <c r="M32" s="735">
        <f t="shared" ref="M32" si="8">SUM(C32:L32)</f>
        <v>23688</v>
      </c>
      <c r="N32" s="950"/>
      <c r="O32" s="950"/>
    </row>
    <row r="33" spans="1:15" s="866" customFormat="1" ht="16.5" customHeight="1">
      <c r="A33" s="875"/>
      <c r="B33" s="876" t="s">
        <v>416</v>
      </c>
      <c r="C33" s="735">
        <v>8169</v>
      </c>
      <c r="D33" s="735">
        <v>260</v>
      </c>
      <c r="E33" s="735">
        <v>284</v>
      </c>
      <c r="F33" s="735">
        <v>36</v>
      </c>
      <c r="G33" s="539">
        <v>3880</v>
      </c>
      <c r="H33" s="735">
        <v>804</v>
      </c>
      <c r="I33" s="735">
        <v>129</v>
      </c>
      <c r="J33" s="735">
        <v>0</v>
      </c>
      <c r="K33" s="735">
        <v>686</v>
      </c>
      <c r="L33" s="735">
        <v>0</v>
      </c>
      <c r="M33" s="735">
        <f t="shared" ref="M33" si="9">SUM(C33:L33)</f>
        <v>14248</v>
      </c>
      <c r="N33" s="950"/>
      <c r="O33" s="950"/>
    </row>
    <row r="34" spans="1:15" s="866" customFormat="1" ht="16.5" customHeight="1">
      <c r="A34" s="875"/>
      <c r="B34" s="876" t="s">
        <v>417</v>
      </c>
      <c r="C34" s="735">
        <v>2621</v>
      </c>
      <c r="D34" s="735">
        <v>529</v>
      </c>
      <c r="E34" s="735">
        <v>162</v>
      </c>
      <c r="F34" s="735">
        <v>35</v>
      </c>
      <c r="G34" s="539">
        <v>42278</v>
      </c>
      <c r="H34" s="735">
        <v>1019</v>
      </c>
      <c r="I34" s="735">
        <v>127</v>
      </c>
      <c r="J34" s="735">
        <v>0</v>
      </c>
      <c r="K34" s="735">
        <v>260</v>
      </c>
      <c r="L34" s="735">
        <v>0</v>
      </c>
      <c r="M34" s="735">
        <f t="shared" ref="M34" si="10">SUM(C34:L34)</f>
        <v>47031</v>
      </c>
      <c r="N34" s="950"/>
      <c r="O34" s="950"/>
    </row>
    <row r="35" spans="1:15" s="866" customFormat="1" ht="16.5" customHeight="1">
      <c r="A35" s="875"/>
      <c r="B35" s="876" t="s">
        <v>418</v>
      </c>
      <c r="C35" s="735">
        <v>4912</v>
      </c>
      <c r="D35" s="735">
        <v>95</v>
      </c>
      <c r="E35" s="735">
        <v>155</v>
      </c>
      <c r="F35" s="735">
        <v>299</v>
      </c>
      <c r="G35" s="735">
        <v>17846</v>
      </c>
      <c r="H35" s="735">
        <v>794</v>
      </c>
      <c r="I35" s="735">
        <v>73</v>
      </c>
      <c r="J35" s="735">
        <v>0</v>
      </c>
      <c r="K35" s="735">
        <v>962</v>
      </c>
      <c r="L35" s="735">
        <v>0</v>
      </c>
      <c r="M35" s="735">
        <f t="shared" ref="M35" si="11">SUM(C35:L35)</f>
        <v>25136</v>
      </c>
      <c r="N35" s="950"/>
      <c r="O35" s="950"/>
    </row>
    <row r="36" spans="1:15" s="866" customFormat="1" ht="16.5" customHeight="1">
      <c r="A36" s="875"/>
      <c r="B36" s="876" t="s">
        <v>419</v>
      </c>
      <c r="C36" s="735">
        <v>2433</v>
      </c>
      <c r="D36" s="735">
        <v>190</v>
      </c>
      <c r="E36" s="735">
        <v>184</v>
      </c>
      <c r="F36" s="735">
        <v>68</v>
      </c>
      <c r="G36" s="735">
        <v>23917</v>
      </c>
      <c r="H36" s="735">
        <v>680</v>
      </c>
      <c r="I36" s="735">
        <v>9345</v>
      </c>
      <c r="J36" s="735">
        <v>0</v>
      </c>
      <c r="K36" s="735">
        <v>2362</v>
      </c>
      <c r="L36" s="735">
        <v>0</v>
      </c>
      <c r="M36" s="735">
        <f t="shared" ref="M36" si="12">SUM(C36:L36)</f>
        <v>39179</v>
      </c>
      <c r="N36" s="950"/>
      <c r="O36" s="950"/>
    </row>
    <row r="37" spans="1:15" s="866" customFormat="1" ht="16.5" customHeight="1">
      <c r="A37" s="875"/>
      <c r="B37" s="876" t="s">
        <v>420</v>
      </c>
      <c r="C37" s="735">
        <v>940</v>
      </c>
      <c r="D37" s="735">
        <v>61</v>
      </c>
      <c r="E37" s="735">
        <v>249</v>
      </c>
      <c r="F37" s="735">
        <v>73</v>
      </c>
      <c r="G37" s="735">
        <v>5167</v>
      </c>
      <c r="H37" s="735">
        <v>658</v>
      </c>
      <c r="I37" s="735">
        <v>219</v>
      </c>
      <c r="J37" s="735">
        <v>0</v>
      </c>
      <c r="K37" s="735">
        <v>671</v>
      </c>
      <c r="L37" s="735">
        <v>0</v>
      </c>
      <c r="M37" s="735">
        <f t="shared" ref="M37" si="13">SUM(C37:L37)</f>
        <v>8038</v>
      </c>
      <c r="N37" s="950"/>
      <c r="O37" s="950"/>
    </row>
    <row r="38" spans="1:15" s="866" customFormat="1" ht="16.5" customHeight="1">
      <c r="A38" s="875"/>
      <c r="B38" s="876" t="s">
        <v>421</v>
      </c>
      <c r="C38" s="735">
        <v>2845</v>
      </c>
      <c r="D38" s="735">
        <v>30</v>
      </c>
      <c r="E38" s="735">
        <v>29</v>
      </c>
      <c r="F38" s="735">
        <v>33</v>
      </c>
      <c r="G38" s="735">
        <v>22959</v>
      </c>
      <c r="H38" s="735">
        <v>433</v>
      </c>
      <c r="I38" s="735">
        <v>174</v>
      </c>
      <c r="J38" s="735">
        <v>0</v>
      </c>
      <c r="K38" s="735">
        <v>122</v>
      </c>
      <c r="L38" s="735">
        <v>0</v>
      </c>
      <c r="M38" s="735">
        <f t="shared" ref="M38" si="14">SUM(C38:L38)</f>
        <v>26625</v>
      </c>
      <c r="N38" s="950"/>
      <c r="O38" s="950"/>
    </row>
    <row r="39" spans="1:15" s="866" customFormat="1" ht="16.5" customHeight="1">
      <c r="A39" s="875"/>
      <c r="B39" s="876" t="s">
        <v>422</v>
      </c>
      <c r="C39" s="735">
        <v>5421</v>
      </c>
      <c r="D39" s="735">
        <v>64</v>
      </c>
      <c r="E39" s="735">
        <v>107</v>
      </c>
      <c r="F39" s="735">
        <v>10</v>
      </c>
      <c r="G39" s="735">
        <v>48409</v>
      </c>
      <c r="H39" s="735">
        <v>850</v>
      </c>
      <c r="I39" s="735">
        <v>493</v>
      </c>
      <c r="J39" s="735">
        <v>6308</v>
      </c>
      <c r="K39" s="735">
        <v>480</v>
      </c>
      <c r="L39" s="735">
        <v>0</v>
      </c>
      <c r="M39" s="735">
        <f t="shared" ref="M39" si="15">SUM(C39:L39)</f>
        <v>62142</v>
      </c>
      <c r="N39" s="950"/>
      <c r="O39" s="950"/>
    </row>
    <row r="40" spans="1:15" s="866" customFormat="1" ht="16.5" customHeight="1">
      <c r="A40" s="875"/>
      <c r="B40" s="876" t="s">
        <v>423</v>
      </c>
      <c r="C40" s="735">
        <v>8082</v>
      </c>
      <c r="D40" s="735">
        <v>46</v>
      </c>
      <c r="E40" s="735">
        <v>3293</v>
      </c>
      <c r="F40" s="735">
        <v>51</v>
      </c>
      <c r="G40" s="735">
        <v>15033</v>
      </c>
      <c r="H40" s="735">
        <v>844</v>
      </c>
      <c r="I40" s="735">
        <v>418</v>
      </c>
      <c r="J40" s="735">
        <v>0</v>
      </c>
      <c r="K40" s="735">
        <v>1109</v>
      </c>
      <c r="L40" s="735">
        <v>0</v>
      </c>
      <c r="M40" s="735">
        <f t="shared" ref="M40" si="16">SUM(C40:L40)</f>
        <v>28876</v>
      </c>
      <c r="N40" s="950"/>
      <c r="O40" s="950"/>
    </row>
    <row r="41" spans="1:15" s="866" customFormat="1" ht="16.5" customHeight="1">
      <c r="A41" s="875"/>
      <c r="B41" s="876" t="s">
        <v>424</v>
      </c>
      <c r="C41" s="735">
        <v>4735</v>
      </c>
      <c r="D41" s="735">
        <v>30</v>
      </c>
      <c r="E41" s="735">
        <v>197</v>
      </c>
      <c r="F41" s="735">
        <v>12</v>
      </c>
      <c r="G41" s="735">
        <v>3718</v>
      </c>
      <c r="H41" s="735">
        <v>565</v>
      </c>
      <c r="I41" s="735">
        <v>83</v>
      </c>
      <c r="J41" s="735">
        <v>0</v>
      </c>
      <c r="K41" s="735">
        <v>601</v>
      </c>
      <c r="L41" s="735">
        <v>0</v>
      </c>
      <c r="M41" s="735">
        <f t="shared" ref="M41" si="17">SUM(C41:L41)</f>
        <v>9941</v>
      </c>
      <c r="N41" s="950"/>
      <c r="O41" s="950"/>
    </row>
    <row r="42" spans="1:15" s="866" customFormat="1" ht="16.5" customHeight="1">
      <c r="A42" s="875"/>
      <c r="B42" s="876" t="s">
        <v>425</v>
      </c>
      <c r="C42" s="735">
        <v>3286</v>
      </c>
      <c r="D42" s="735">
        <v>437</v>
      </c>
      <c r="E42" s="735">
        <v>122</v>
      </c>
      <c r="F42" s="735">
        <v>146</v>
      </c>
      <c r="G42" s="735">
        <v>19265</v>
      </c>
      <c r="H42" s="735">
        <v>621</v>
      </c>
      <c r="I42" s="735">
        <v>243</v>
      </c>
      <c r="J42" s="735">
        <v>0</v>
      </c>
      <c r="K42" s="735">
        <v>1223</v>
      </c>
      <c r="L42" s="735">
        <v>0</v>
      </c>
      <c r="M42" s="735">
        <f t="shared" ref="M42" si="18">SUM(C42:L42)</f>
        <v>25343</v>
      </c>
      <c r="N42" s="950"/>
      <c r="O42" s="950"/>
    </row>
    <row r="43" spans="1:15" s="866" customFormat="1" ht="16.5" customHeight="1">
      <c r="A43" s="875"/>
      <c r="B43" s="876" t="s">
        <v>426</v>
      </c>
      <c r="C43" s="735">
        <v>4155</v>
      </c>
      <c r="D43" s="735">
        <v>433</v>
      </c>
      <c r="E43" s="735">
        <v>260</v>
      </c>
      <c r="F43" s="735">
        <v>220</v>
      </c>
      <c r="G43" s="735">
        <v>2959</v>
      </c>
      <c r="H43" s="735">
        <v>701</v>
      </c>
      <c r="I43" s="735">
        <v>104</v>
      </c>
      <c r="J43" s="735">
        <v>0</v>
      </c>
      <c r="K43" s="735">
        <v>720</v>
      </c>
      <c r="L43" s="735">
        <v>0</v>
      </c>
      <c r="M43" s="735">
        <f t="shared" ref="M43" si="19">SUM(C43:L43)</f>
        <v>9552</v>
      </c>
      <c r="N43" s="950"/>
      <c r="O43" s="950"/>
    </row>
    <row r="44" spans="1:15" ht="20.25" customHeight="1">
      <c r="A44" s="543" t="s">
        <v>1566</v>
      </c>
      <c r="B44" s="462"/>
      <c r="C44" s="462"/>
      <c r="D44" s="462"/>
      <c r="E44" s="462"/>
      <c r="F44" s="462"/>
      <c r="G44" s="462"/>
      <c r="H44" s="462"/>
      <c r="I44" s="462"/>
      <c r="J44" s="462"/>
      <c r="K44" s="462"/>
      <c r="L44" s="462"/>
      <c r="M44" s="544" t="s">
        <v>1567</v>
      </c>
    </row>
    <row r="45" spans="1:15" hidden="1">
      <c r="A45" s="545" t="s">
        <v>1599</v>
      </c>
      <c r="M45" s="957" t="s">
        <v>1600</v>
      </c>
    </row>
    <row r="46" spans="1:15" hidden="1">
      <c r="A46" s="545" t="s">
        <v>1601</v>
      </c>
      <c r="M46" s="546" t="s">
        <v>1602</v>
      </c>
    </row>
    <row r="47" spans="1:15">
      <c r="A47" s="545" t="s">
        <v>1568</v>
      </c>
      <c r="M47" s="546" t="s">
        <v>1569</v>
      </c>
    </row>
    <row r="48" spans="1:15">
      <c r="A48" s="444"/>
      <c r="B48" s="444"/>
      <c r="C48" s="444"/>
      <c r="D48" s="444"/>
      <c r="E48" s="444"/>
      <c r="F48" s="444"/>
      <c r="G48" s="444"/>
      <c r="H48" s="444"/>
      <c r="I48" s="444"/>
      <c r="J48" s="444"/>
      <c r="K48" s="444"/>
      <c r="L48" s="444"/>
      <c r="M48" s="444"/>
    </row>
    <row r="49" spans="1:13">
      <c r="A49" s="444" t="s">
        <v>1603</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19" activePane="bottomLeft" state="frozen"/>
      <selection activeCell="B12" sqref="B12"/>
      <selection pane="bottomLeft" activeCell="I37" sqref="I37"/>
    </sheetView>
  </sheetViews>
  <sheetFormatPr defaultColWidth="9.140625" defaultRowHeight="12.75"/>
  <cols>
    <col min="1" max="2" width="10" style="445" customWidth="1"/>
    <col min="3" max="3" width="20.7109375" style="381" customWidth="1"/>
    <col min="4" max="10" width="20.7109375" style="445" customWidth="1"/>
    <col min="11" max="16384" width="9.140625" style="445"/>
  </cols>
  <sheetData>
    <row r="1" spans="1:15" ht="19.5" customHeight="1">
      <c r="A1" s="1437" t="s">
        <v>1738</v>
      </c>
      <c r="B1" s="831"/>
      <c r="C1" s="382"/>
      <c r="D1" s="444"/>
      <c r="E1" s="444"/>
      <c r="F1" s="444"/>
      <c r="G1" s="444"/>
      <c r="H1" s="444"/>
      <c r="I1" s="444"/>
      <c r="J1" s="444"/>
    </row>
    <row r="2" spans="1:15" ht="18">
      <c r="A2" s="1437" t="s">
        <v>1604</v>
      </c>
      <c r="B2" s="831"/>
      <c r="C2" s="382"/>
      <c r="D2" s="444"/>
      <c r="E2" s="444"/>
      <c r="F2" s="444"/>
      <c r="G2" s="444"/>
      <c r="H2" s="444"/>
      <c r="I2" s="444"/>
      <c r="J2" s="444"/>
    </row>
    <row r="3" spans="1:15" ht="16.5">
      <c r="A3" s="1438" t="s">
        <v>1605</v>
      </c>
      <c r="B3" s="483"/>
      <c r="C3" s="382"/>
      <c r="D3" s="444"/>
      <c r="E3" s="444"/>
      <c r="F3" s="444"/>
      <c r="G3" s="444"/>
      <c r="H3" s="444"/>
      <c r="I3" s="444"/>
      <c r="J3" s="444"/>
    </row>
    <row r="4" spans="1:15" ht="16.5" hidden="1">
      <c r="A4" s="1438"/>
      <c r="B4" s="483"/>
      <c r="C4" s="382"/>
      <c r="D4" s="444"/>
      <c r="E4" s="444"/>
      <c r="F4" s="444"/>
      <c r="G4" s="444"/>
      <c r="H4" s="444"/>
      <c r="I4" s="444"/>
      <c r="J4" s="444"/>
    </row>
    <row r="5" spans="1:15" ht="16.5" hidden="1">
      <c r="A5" s="1438"/>
      <c r="B5" s="483"/>
      <c r="C5" s="382"/>
      <c r="D5" s="444"/>
      <c r="E5" s="444"/>
      <c r="F5" s="444"/>
      <c r="G5" s="444"/>
      <c r="H5" s="444"/>
      <c r="I5" s="444"/>
      <c r="J5" s="444"/>
    </row>
    <row r="6" spans="1:15" ht="16.5" hidden="1">
      <c r="A6" s="1438"/>
      <c r="B6" s="483"/>
      <c r="C6" s="382"/>
      <c r="D6" s="444"/>
      <c r="E6" s="444"/>
      <c r="F6" s="444"/>
      <c r="G6" s="444"/>
      <c r="H6" s="444"/>
      <c r="I6" s="444"/>
      <c r="J6" s="444"/>
    </row>
    <row r="7" spans="1:15" ht="16.5">
      <c r="A7" s="1438" t="s">
        <v>1606</v>
      </c>
      <c r="B7" s="483"/>
      <c r="C7" s="382"/>
      <c r="D7" s="444"/>
      <c r="E7" s="444"/>
      <c r="F7" s="444"/>
      <c r="G7" s="444"/>
      <c r="H7" s="444"/>
      <c r="I7" s="444"/>
      <c r="J7" s="444"/>
    </row>
    <row r="8" spans="1:15" s="448" customFormat="1" ht="14.85" customHeight="1">
      <c r="A8" s="521" t="s">
        <v>1607</v>
      </c>
      <c r="B8" s="446"/>
      <c r="J8" s="548" t="s">
        <v>1608</v>
      </c>
    </row>
    <row r="9" spans="1:15" ht="15">
      <c r="A9" s="523"/>
      <c r="B9" s="524"/>
      <c r="C9" s="486" t="s">
        <v>1609</v>
      </c>
      <c r="D9" s="525"/>
      <c r="E9" s="525"/>
      <c r="F9" s="486" t="s">
        <v>1575</v>
      </c>
      <c r="G9" s="486" t="s">
        <v>1575</v>
      </c>
      <c r="H9" s="958"/>
      <c r="I9" s="959"/>
      <c r="J9" s="525"/>
    </row>
    <row r="10" spans="1:15" ht="15">
      <c r="A10" s="528" t="s">
        <v>383</v>
      </c>
      <c r="B10" s="529"/>
      <c r="C10" s="879" t="s">
        <v>1610</v>
      </c>
      <c r="D10" s="530" t="s">
        <v>1577</v>
      </c>
      <c r="E10" s="530" t="s">
        <v>1578</v>
      </c>
      <c r="F10" s="530" t="s">
        <v>1579</v>
      </c>
      <c r="G10" s="530" t="s">
        <v>1580</v>
      </c>
      <c r="H10" s="530" t="s">
        <v>1581</v>
      </c>
      <c r="I10" s="530" t="s">
        <v>1290</v>
      </c>
      <c r="J10" s="530" t="s">
        <v>1582</v>
      </c>
    </row>
    <row r="11" spans="1:15" ht="15">
      <c r="A11" s="490" t="s">
        <v>391</v>
      </c>
      <c r="B11" s="529"/>
      <c r="C11" s="493" t="s">
        <v>1611</v>
      </c>
      <c r="D11" s="493" t="s">
        <v>1586</v>
      </c>
      <c r="E11" s="493" t="s">
        <v>1587</v>
      </c>
      <c r="F11" s="493" t="s">
        <v>1588</v>
      </c>
      <c r="G11" s="493" t="s">
        <v>1588</v>
      </c>
      <c r="H11" s="493" t="s">
        <v>1589</v>
      </c>
      <c r="I11" s="493" t="s">
        <v>1590</v>
      </c>
      <c r="J11" s="493" t="s">
        <v>1591</v>
      </c>
    </row>
    <row r="12" spans="1:15" ht="15">
      <c r="A12" s="549"/>
      <c r="B12" s="550"/>
      <c r="C12" s="534" t="s">
        <v>1549</v>
      </c>
      <c r="D12" s="533"/>
      <c r="E12" s="533"/>
      <c r="F12" s="533" t="s">
        <v>1595</v>
      </c>
      <c r="G12" s="533" t="s">
        <v>1596</v>
      </c>
      <c r="H12" s="533"/>
      <c r="I12" s="533" t="s">
        <v>1597</v>
      </c>
      <c r="J12" s="533" t="s">
        <v>1598</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8"/>
      <c r="L16" s="866"/>
      <c r="M16" s="866"/>
      <c r="N16" s="866"/>
      <c r="O16" s="866"/>
    </row>
    <row r="17" spans="1:15" ht="16.5" hidden="1" customHeight="1">
      <c r="A17" s="405">
        <v>2019</v>
      </c>
      <c r="B17" s="648"/>
      <c r="C17" s="507"/>
      <c r="D17" s="507"/>
      <c r="E17" s="507"/>
      <c r="F17" s="507"/>
      <c r="G17" s="507"/>
      <c r="H17" s="507"/>
      <c r="I17" s="507"/>
      <c r="J17" s="507"/>
      <c r="K17" s="1008"/>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8"/>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8"/>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8"/>
      <c r="L20" s="866"/>
      <c r="M20" s="866"/>
      <c r="N20" s="866"/>
      <c r="O20" s="866"/>
    </row>
    <row r="21" spans="1:15" ht="20.25" customHeight="1">
      <c r="A21" s="405">
        <v>2023</v>
      </c>
      <c r="B21" s="648"/>
      <c r="C21" s="507">
        <f t="shared" ref="C21:J21" si="0">C26</f>
        <v>1971.492</v>
      </c>
      <c r="D21" s="507">
        <f t="shared" si="0"/>
        <v>5260.3370000000004</v>
      </c>
      <c r="E21" s="507">
        <f t="shared" si="0"/>
        <v>2998.5340000000001</v>
      </c>
      <c r="F21" s="507">
        <f t="shared" si="0"/>
        <v>3503.6179999999999</v>
      </c>
      <c r="G21" s="507">
        <f t="shared" si="0"/>
        <v>2547.556</v>
      </c>
      <c r="H21" s="507">
        <f t="shared" si="0"/>
        <v>6976.1080000000002</v>
      </c>
      <c r="I21" s="507">
        <f t="shared" si="0"/>
        <v>2480.5329999999999</v>
      </c>
      <c r="J21" s="507">
        <f t="shared" si="0"/>
        <v>2696.643</v>
      </c>
      <c r="K21" s="1008"/>
      <c r="L21" s="866"/>
      <c r="M21" s="866"/>
      <c r="N21" s="866"/>
      <c r="O21" s="866"/>
    </row>
    <row r="22" spans="1:15" ht="20.25" customHeight="1">
      <c r="A22" s="732">
        <v>2024</v>
      </c>
      <c r="B22" s="781"/>
      <c r="C22" s="778">
        <f t="shared" ref="C22:J22" si="1">C30</f>
        <v>1985.913</v>
      </c>
      <c r="D22" s="778">
        <f t="shared" si="1"/>
        <v>5972.4350000000004</v>
      </c>
      <c r="E22" s="1313">
        <f t="shared" si="1"/>
        <v>3015.518</v>
      </c>
      <c r="F22" s="778">
        <f t="shared" si="1"/>
        <v>2835.8519999999999</v>
      </c>
      <c r="G22" s="778">
        <f t="shared" si="1"/>
        <v>2175.6129999999998</v>
      </c>
      <c r="H22" s="778">
        <f t="shared" si="1"/>
        <v>6855.3639999999996</v>
      </c>
      <c r="I22" s="778">
        <f t="shared" si="1"/>
        <v>2451.9299999999998</v>
      </c>
      <c r="J22" s="778">
        <f t="shared" si="1"/>
        <v>2216.6849999999999</v>
      </c>
      <c r="K22" s="1008"/>
      <c r="L22" s="866"/>
      <c r="M22" s="866"/>
      <c r="N22" s="866"/>
      <c r="O22" s="866"/>
    </row>
    <row r="23" spans="1:15" ht="21" customHeight="1">
      <c r="A23" s="405">
        <v>2023</v>
      </c>
      <c r="B23" s="648" t="s">
        <v>243</v>
      </c>
      <c r="C23" s="507">
        <v>1886.61</v>
      </c>
      <c r="D23" s="507">
        <v>4690.6580000000004</v>
      </c>
      <c r="E23" s="507">
        <v>2970.2829999999999</v>
      </c>
      <c r="F23" s="507">
        <v>3289.2060000000001</v>
      </c>
      <c r="G23" s="507">
        <v>3002</v>
      </c>
      <c r="H23" s="507">
        <v>6754.652</v>
      </c>
      <c r="I23" s="507">
        <v>2362.2139999999999</v>
      </c>
      <c r="J23" s="507">
        <v>2752.3409999999999</v>
      </c>
      <c r="K23" s="1008"/>
      <c r="L23" s="866"/>
      <c r="M23" s="866"/>
      <c r="N23" s="866"/>
      <c r="O23" s="866"/>
    </row>
    <row r="24" spans="1:15" ht="15">
      <c r="A24" s="405"/>
      <c r="B24" s="648" t="s">
        <v>244</v>
      </c>
      <c r="C24" s="507">
        <v>1957.873</v>
      </c>
      <c r="D24" s="507">
        <v>4989.28</v>
      </c>
      <c r="E24" s="507">
        <v>2786.47</v>
      </c>
      <c r="F24" s="507">
        <v>3448.6179999999999</v>
      </c>
      <c r="G24" s="507">
        <v>2794.2750000000001</v>
      </c>
      <c r="H24" s="507">
        <v>6971.3389999999999</v>
      </c>
      <c r="I24" s="507">
        <v>2578.2220000000002</v>
      </c>
      <c r="J24" s="507">
        <v>2701.1570000000002</v>
      </c>
      <c r="K24" s="1008"/>
      <c r="L24" s="866"/>
      <c r="M24" s="866"/>
      <c r="N24" s="866"/>
      <c r="O24" s="866"/>
    </row>
    <row r="25" spans="1:15" ht="15">
      <c r="A25" s="405"/>
      <c r="B25" s="648" t="s">
        <v>245</v>
      </c>
      <c r="C25" s="1202">
        <v>1939.126</v>
      </c>
      <c r="D25" s="507">
        <v>5030.6279999999997</v>
      </c>
      <c r="E25" s="1132">
        <v>2701.38</v>
      </c>
      <c r="F25" s="507">
        <v>3387.8710000000001</v>
      </c>
      <c r="G25" s="507">
        <v>2615.9899999999998</v>
      </c>
      <c r="H25" s="507">
        <v>6916.7709999999997</v>
      </c>
      <c r="I25" s="507">
        <v>2487.808</v>
      </c>
      <c r="J25" s="507">
        <v>2668.9360000000001</v>
      </c>
      <c r="K25" s="1008"/>
      <c r="L25" s="866"/>
      <c r="M25" s="866"/>
      <c r="N25" s="866"/>
      <c r="O25" s="866"/>
    </row>
    <row r="26" spans="1:15" ht="15">
      <c r="A26" s="405"/>
      <c r="B26" s="648" t="s">
        <v>242</v>
      </c>
      <c r="C26" s="507">
        <v>1971.492</v>
      </c>
      <c r="D26" s="507">
        <v>5260.3370000000004</v>
      </c>
      <c r="E26" s="507">
        <v>2998.5340000000001</v>
      </c>
      <c r="F26" s="507">
        <v>3503.6179999999999</v>
      </c>
      <c r="G26" s="507">
        <v>2547.556</v>
      </c>
      <c r="H26" s="507">
        <v>6976.1080000000002</v>
      </c>
      <c r="I26" s="507">
        <v>2480.5329999999999</v>
      </c>
      <c r="J26" s="507">
        <v>2696.643</v>
      </c>
      <c r="K26" s="1008"/>
      <c r="L26" s="866"/>
      <c r="M26" s="866"/>
      <c r="N26" s="866"/>
      <c r="O26" s="866"/>
    </row>
    <row r="27" spans="1:15" ht="21" customHeight="1">
      <c r="A27" s="405">
        <v>2024</v>
      </c>
      <c r="B27" s="648" t="s">
        <v>243</v>
      </c>
      <c r="C27" s="507">
        <f t="shared" ref="C27:J27" si="2">C34</f>
        <v>2042.671</v>
      </c>
      <c r="D27" s="507">
        <f t="shared" si="2"/>
        <v>5604.9</v>
      </c>
      <c r="E27" s="507">
        <f t="shared" si="2"/>
        <v>3210.9290000000001</v>
      </c>
      <c r="F27" s="507">
        <f t="shared" si="2"/>
        <v>3458.7570000000001</v>
      </c>
      <c r="G27" s="507">
        <f t="shared" si="2"/>
        <v>2533.5410000000002</v>
      </c>
      <c r="H27" s="507">
        <f t="shared" si="2"/>
        <v>7136.6670000000004</v>
      </c>
      <c r="I27" s="507">
        <f t="shared" si="2"/>
        <v>2658.3229999999999</v>
      </c>
      <c r="J27" s="507">
        <f t="shared" si="2"/>
        <v>2598.5039999999999</v>
      </c>
      <c r="K27" s="1008"/>
      <c r="L27" s="866"/>
      <c r="M27" s="866"/>
      <c r="N27" s="866"/>
      <c r="O27" s="866"/>
    </row>
    <row r="28" spans="1:15" ht="15" customHeight="1">
      <c r="A28" s="405"/>
      <c r="B28" s="648" t="s">
        <v>244</v>
      </c>
      <c r="C28" s="507">
        <f t="shared" ref="C28:J28" si="3">C37</f>
        <v>2025.4929999999999</v>
      </c>
      <c r="D28" s="507">
        <f t="shared" si="3"/>
        <v>5421.1329999999998</v>
      </c>
      <c r="E28" s="507">
        <f t="shared" si="3"/>
        <v>3128.3989999999999</v>
      </c>
      <c r="F28" s="507">
        <f t="shared" si="3"/>
        <v>3338.5070000000001</v>
      </c>
      <c r="G28" s="507">
        <f t="shared" si="3"/>
        <v>2448.0549999999998</v>
      </c>
      <c r="H28" s="507">
        <f t="shared" si="3"/>
        <v>7197.5339999999997</v>
      </c>
      <c r="I28" s="507">
        <f t="shared" si="3"/>
        <v>2574.9580000000001</v>
      </c>
      <c r="J28" s="507">
        <f t="shared" si="3"/>
        <v>2433.0590000000002</v>
      </c>
      <c r="K28" s="1008"/>
      <c r="L28" s="866"/>
      <c r="M28" s="866"/>
      <c r="N28" s="866"/>
      <c r="O28" s="866"/>
    </row>
    <row r="29" spans="1:15" ht="15" customHeight="1">
      <c r="A29" s="405"/>
      <c r="B29" s="648" t="s">
        <v>245</v>
      </c>
      <c r="C29" s="507">
        <f t="shared" ref="C29:J29" si="4">C40</f>
        <v>2012.771</v>
      </c>
      <c r="D29" s="507">
        <f t="shared" si="4"/>
        <v>5779.4790000000003</v>
      </c>
      <c r="E29" s="507">
        <f t="shared" si="4"/>
        <v>3141.8020000000001</v>
      </c>
      <c r="F29" s="507">
        <f t="shared" si="4"/>
        <v>3194.5970000000002</v>
      </c>
      <c r="G29" s="507">
        <f t="shared" si="4"/>
        <v>2309.4160000000002</v>
      </c>
      <c r="H29" s="507">
        <f t="shared" si="4"/>
        <v>7011.683</v>
      </c>
      <c r="I29" s="507">
        <f t="shared" si="4"/>
        <v>2526.703</v>
      </c>
      <c r="J29" s="507">
        <f t="shared" si="4"/>
        <v>2260.7159999999999</v>
      </c>
      <c r="K29" s="1008"/>
      <c r="L29" s="866"/>
      <c r="M29" s="866"/>
      <c r="N29" s="866"/>
      <c r="O29" s="866"/>
    </row>
    <row r="30" spans="1:15" ht="15" customHeight="1">
      <c r="A30" s="732"/>
      <c r="B30" s="781" t="s">
        <v>242</v>
      </c>
      <c r="C30" s="778">
        <f t="shared" ref="C30:J30" si="5">C43</f>
        <v>1985.913</v>
      </c>
      <c r="D30" s="778">
        <f t="shared" si="5"/>
        <v>5972.4350000000004</v>
      </c>
      <c r="E30" s="778">
        <f t="shared" si="5"/>
        <v>3015.518</v>
      </c>
      <c r="F30" s="778">
        <f t="shared" si="5"/>
        <v>2835.8519999999999</v>
      </c>
      <c r="G30" s="778">
        <f t="shared" si="5"/>
        <v>2175.6129999999998</v>
      </c>
      <c r="H30" s="778">
        <f t="shared" si="5"/>
        <v>6855.3639999999996</v>
      </c>
      <c r="I30" s="778">
        <f t="shared" si="5"/>
        <v>2451.9299999999998</v>
      </c>
      <c r="J30" s="778">
        <f t="shared" si="5"/>
        <v>2216.6849999999999</v>
      </c>
      <c r="K30" s="1008"/>
      <c r="L30" s="866"/>
      <c r="M30" s="866"/>
      <c r="N30" s="866"/>
      <c r="O30" s="866"/>
    </row>
    <row r="31" spans="1:15" s="866" customFormat="1" ht="21" customHeight="1">
      <c r="A31" s="405">
        <v>2023</v>
      </c>
      <c r="B31" s="648" t="s">
        <v>426</v>
      </c>
      <c r="C31" s="507">
        <v>1971.492</v>
      </c>
      <c r="D31" s="507">
        <v>5260.3370000000004</v>
      </c>
      <c r="E31" s="507">
        <v>2998.5340000000001</v>
      </c>
      <c r="F31" s="507">
        <v>3503.6179999999999</v>
      </c>
      <c r="G31" s="507">
        <v>2547.556</v>
      </c>
      <c r="H31" s="507">
        <v>6976.1080000000002</v>
      </c>
      <c r="I31" s="507">
        <v>2480.5329999999999</v>
      </c>
      <c r="J31" s="507">
        <v>2696.643</v>
      </c>
      <c r="K31" s="1439"/>
    </row>
    <row r="32" spans="1:15" s="866" customFormat="1" ht="21" customHeight="1">
      <c r="A32" s="405">
        <v>2024</v>
      </c>
      <c r="B32" s="648" t="s">
        <v>427</v>
      </c>
      <c r="C32" s="507">
        <v>2067.174</v>
      </c>
      <c r="D32" s="507">
        <v>6339.9690000000001</v>
      </c>
      <c r="E32" s="507">
        <v>2937.3820000000001</v>
      </c>
      <c r="F32" s="507">
        <v>3482.44</v>
      </c>
      <c r="G32" s="507">
        <v>2532.5169999999998</v>
      </c>
      <c r="H32" s="507">
        <v>7040.2190000000001</v>
      </c>
      <c r="I32" s="507">
        <v>2502.634</v>
      </c>
      <c r="J32" s="507">
        <v>2629.817</v>
      </c>
      <c r="K32" s="1439"/>
    </row>
    <row r="33" spans="1:11" s="866" customFormat="1" ht="17.25" customHeight="1">
      <c r="A33" s="405"/>
      <c r="B33" s="648" t="s">
        <v>416</v>
      </c>
      <c r="C33" s="507">
        <v>2005.42</v>
      </c>
      <c r="D33" s="507">
        <v>5283.308</v>
      </c>
      <c r="E33" s="507">
        <v>3145.1280000000002</v>
      </c>
      <c r="F33" s="507">
        <v>3519.9229999999998</v>
      </c>
      <c r="G33" s="507">
        <v>2547.0459999999998</v>
      </c>
      <c r="H33" s="507">
        <v>7106.5079999999998</v>
      </c>
      <c r="I33" s="507">
        <v>2573.029</v>
      </c>
      <c r="J33" s="507">
        <v>2645.7139999999999</v>
      </c>
      <c r="K33" s="1439"/>
    </row>
    <row r="34" spans="1:11" s="866" customFormat="1" ht="17.25" customHeight="1">
      <c r="A34" s="405"/>
      <c r="B34" s="648" t="s">
        <v>417</v>
      </c>
      <c r="C34" s="507">
        <v>2042.671</v>
      </c>
      <c r="D34" s="507">
        <v>5604.9</v>
      </c>
      <c r="E34" s="507">
        <v>3210.9290000000001</v>
      </c>
      <c r="F34" s="507">
        <v>3458.7570000000001</v>
      </c>
      <c r="G34" s="507">
        <v>2533.5410000000002</v>
      </c>
      <c r="H34" s="507">
        <v>7136.6670000000004</v>
      </c>
      <c r="I34" s="507">
        <v>2658.3229999999999</v>
      </c>
      <c r="J34" s="507">
        <v>2598.5039999999999</v>
      </c>
      <c r="K34" s="1439"/>
    </row>
    <row r="35" spans="1:11" s="866" customFormat="1" ht="17.25" customHeight="1">
      <c r="A35" s="405"/>
      <c r="B35" s="648" t="s">
        <v>418</v>
      </c>
      <c r="C35" s="507">
        <v>2029.056</v>
      </c>
      <c r="D35" s="507">
        <v>5788.6679999999997</v>
      </c>
      <c r="E35" s="507">
        <v>3086.0949999999998</v>
      </c>
      <c r="F35" s="507">
        <v>3483.5909999999999</v>
      </c>
      <c r="G35" s="507">
        <v>2444.991</v>
      </c>
      <c r="H35" s="507">
        <v>7039.0209999999997</v>
      </c>
      <c r="I35" s="507">
        <v>2563.7800000000002</v>
      </c>
      <c r="J35" s="507">
        <v>2525.8589999999999</v>
      </c>
      <c r="K35" s="1439"/>
    </row>
    <row r="36" spans="1:11" s="866" customFormat="1" ht="17.25" customHeight="1">
      <c r="A36" s="405"/>
      <c r="B36" s="648" t="s">
        <v>419</v>
      </c>
      <c r="C36" s="507">
        <v>2039.0340000000001</v>
      </c>
      <c r="D36" s="507">
        <v>5513.0169999999998</v>
      </c>
      <c r="E36" s="507">
        <v>3092.587</v>
      </c>
      <c r="F36" s="507">
        <v>3496.0540000000001</v>
      </c>
      <c r="G36" s="507">
        <v>2461.56</v>
      </c>
      <c r="H36" s="507">
        <v>7221.9040000000005</v>
      </c>
      <c r="I36" s="507">
        <v>2580.5340000000001</v>
      </c>
      <c r="J36" s="507">
        <v>2353.5160000000001</v>
      </c>
      <c r="K36" s="1439"/>
    </row>
    <row r="37" spans="1:11" s="866" customFormat="1" ht="17.25" customHeight="1">
      <c r="A37" s="405"/>
      <c r="B37" s="648" t="s">
        <v>420</v>
      </c>
      <c r="C37" s="507">
        <v>2025.4929999999999</v>
      </c>
      <c r="D37" s="507">
        <v>5421.1329999999998</v>
      </c>
      <c r="E37" s="507">
        <v>3128.3989999999999</v>
      </c>
      <c r="F37" s="507">
        <v>3338.5070000000001</v>
      </c>
      <c r="G37" s="507">
        <v>2448.0549999999998</v>
      </c>
      <c r="H37" s="507">
        <v>7197.5339999999997</v>
      </c>
      <c r="I37" s="507">
        <v>2574.9580000000001</v>
      </c>
      <c r="J37" s="507">
        <v>2433.0590000000002</v>
      </c>
      <c r="K37" s="1439"/>
    </row>
    <row r="38" spans="1:11" s="866" customFormat="1" ht="17.25" customHeight="1">
      <c r="A38" s="405"/>
      <c r="B38" s="648" t="s">
        <v>421</v>
      </c>
      <c r="C38" s="507">
        <v>1969.8879999999999</v>
      </c>
      <c r="D38" s="507">
        <v>4915.7730000000001</v>
      </c>
      <c r="E38" s="507">
        <v>3043.7910000000002</v>
      </c>
      <c r="F38" s="507">
        <v>3232.6779999999999</v>
      </c>
      <c r="G38" s="507">
        <v>2463.3560000000002</v>
      </c>
      <c r="H38" s="507">
        <v>7123.9250000000002</v>
      </c>
      <c r="I38" s="507">
        <v>2578.0680000000002</v>
      </c>
      <c r="J38" s="507">
        <v>2349.797</v>
      </c>
      <c r="K38" s="1439"/>
    </row>
    <row r="39" spans="1:11" s="866" customFormat="1" ht="17.25" customHeight="1">
      <c r="A39" s="405"/>
      <c r="B39" s="648" t="s">
        <v>422</v>
      </c>
      <c r="C39" s="507">
        <v>1957.489</v>
      </c>
      <c r="D39" s="507">
        <v>5099.5410000000002</v>
      </c>
      <c r="E39" s="507">
        <v>3024.9430000000002</v>
      </c>
      <c r="F39" s="507">
        <v>3264.4459999999999</v>
      </c>
      <c r="G39" s="507">
        <v>2463.3560000000002</v>
      </c>
      <c r="H39" s="507">
        <v>7007.9359999999997</v>
      </c>
      <c r="I39" s="507">
        <v>2502.9940000000001</v>
      </c>
      <c r="J39" s="507">
        <v>2247.998</v>
      </c>
      <c r="K39" s="1439"/>
    </row>
    <row r="40" spans="1:11" s="866" customFormat="1" ht="17.25" customHeight="1">
      <c r="A40" s="405"/>
      <c r="B40" s="648" t="s">
        <v>423</v>
      </c>
      <c r="C40" s="507">
        <v>2012.771</v>
      </c>
      <c r="D40" s="507">
        <v>5779.4790000000003</v>
      </c>
      <c r="E40" s="507">
        <v>3141.8020000000001</v>
      </c>
      <c r="F40" s="507">
        <v>3194.5970000000002</v>
      </c>
      <c r="G40" s="507">
        <v>2309.4160000000002</v>
      </c>
      <c r="H40" s="507">
        <v>7011.683</v>
      </c>
      <c r="I40" s="507">
        <v>2526.703</v>
      </c>
      <c r="J40" s="507">
        <v>2260.7159999999999</v>
      </c>
      <c r="K40" s="1439"/>
    </row>
    <row r="41" spans="1:11" s="866" customFormat="1" ht="17.25" customHeight="1">
      <c r="A41" s="405"/>
      <c r="B41" s="648" t="s">
        <v>424</v>
      </c>
      <c r="C41" s="507">
        <v>2018.904</v>
      </c>
      <c r="D41" s="507">
        <v>6110.26</v>
      </c>
      <c r="E41" s="507">
        <v>3062.6390000000001</v>
      </c>
      <c r="F41" s="507">
        <v>3091.837</v>
      </c>
      <c r="G41" s="507">
        <v>2309.4160000000002</v>
      </c>
      <c r="H41" s="507">
        <v>6934.5429999999997</v>
      </c>
      <c r="I41" s="507">
        <v>2479.7449999999999</v>
      </c>
      <c r="J41" s="507">
        <v>2216.6849999999999</v>
      </c>
      <c r="K41" s="1439"/>
    </row>
    <row r="42" spans="1:11" s="866" customFormat="1" ht="17.25" customHeight="1">
      <c r="A42" s="405"/>
      <c r="B42" s="648" t="s">
        <v>425</v>
      </c>
      <c r="C42" s="507">
        <v>2031.9780000000001</v>
      </c>
      <c r="D42" s="507">
        <v>6362.94</v>
      </c>
      <c r="E42" s="507">
        <v>3024.9430000000002</v>
      </c>
      <c r="F42" s="507">
        <v>2905.0549999999998</v>
      </c>
      <c r="G42" s="507">
        <v>2175.6129999999998</v>
      </c>
      <c r="H42" s="507">
        <v>6931.2330000000002</v>
      </c>
      <c r="I42" s="507">
        <v>2468.8629999999998</v>
      </c>
      <c r="J42" s="507">
        <v>2150.3989999999999</v>
      </c>
      <c r="K42" s="1439"/>
    </row>
    <row r="43" spans="1:11" s="866" customFormat="1" ht="17.25" customHeight="1">
      <c r="A43" s="405"/>
      <c r="B43" s="648" t="s">
        <v>426</v>
      </c>
      <c r="C43" s="507">
        <v>1985.913</v>
      </c>
      <c r="D43" s="507">
        <v>5972.4350000000004</v>
      </c>
      <c r="E43" s="507">
        <v>3015.518</v>
      </c>
      <c r="F43" s="507">
        <v>2835.8519999999999</v>
      </c>
      <c r="G43" s="507">
        <v>2175.6129999999998</v>
      </c>
      <c r="H43" s="507">
        <v>6855.3639999999996</v>
      </c>
      <c r="I43" s="507">
        <v>2451.9299999999998</v>
      </c>
      <c r="J43" s="507">
        <v>2216.6849999999999</v>
      </c>
      <c r="K43" s="1439"/>
    </row>
    <row r="44" spans="1:11" ht="21" customHeight="1">
      <c r="A44" s="543" t="s">
        <v>1568</v>
      </c>
      <c r="B44" s="462"/>
      <c r="C44" s="462"/>
      <c r="D44" s="462"/>
      <c r="E44" s="462"/>
      <c r="F44" s="462"/>
      <c r="G44" s="462"/>
      <c r="H44" s="462"/>
      <c r="I44" s="462"/>
      <c r="J44" s="544" t="s">
        <v>1569</v>
      </c>
    </row>
    <row r="46" spans="1:11" ht="14.25">
      <c r="A46" s="520" t="s">
        <v>1612</v>
      </c>
      <c r="B46" s="444"/>
      <c r="C46" s="382"/>
      <c r="D46" s="444"/>
      <c r="E46" s="444"/>
      <c r="F46" s="444"/>
      <c r="G46" s="444"/>
      <c r="H46" s="444"/>
      <c r="I46" s="444"/>
      <c r="J46" s="444"/>
    </row>
  </sheetData>
  <printOptions horizontalCentered="1" verticalCentered="1"/>
  <pageMargins left="0" right="0" top="0.39" bottom="0" header="0.3" footer="0.3"/>
  <pageSetup scale="74"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2"/>
  <sheetViews>
    <sheetView zoomScale="70" zoomScaleNormal="70" workbookViewId="0">
      <pane ySplit="9" topLeftCell="A13" activePane="bottomLeft" state="frozen"/>
      <selection activeCell="B12" sqref="B12"/>
      <selection pane="bottomLeft" activeCell="B12" sqref="B12"/>
    </sheetView>
  </sheetViews>
  <sheetFormatPr defaultColWidth="9.140625" defaultRowHeight="12.75"/>
  <cols>
    <col min="1" max="2" width="9.7109375" style="445" customWidth="1"/>
    <col min="3" max="4" width="17.7109375" style="445" customWidth="1"/>
    <col min="5" max="6" width="18.85546875" style="445" customWidth="1"/>
    <col min="7" max="9" width="17.7109375" style="445" customWidth="1"/>
    <col min="10" max="10" width="18.7109375" style="445" customWidth="1"/>
    <col min="11" max="16384" width="9.140625" style="445"/>
  </cols>
  <sheetData>
    <row r="1" spans="1:10" ht="19.5" customHeight="1">
      <c r="A1" s="831" t="s">
        <v>1736</v>
      </c>
      <c r="B1" s="831"/>
      <c r="C1" s="831"/>
      <c r="D1" s="831"/>
      <c r="E1" s="831"/>
      <c r="F1" s="831"/>
      <c r="G1" s="831"/>
      <c r="H1" s="831"/>
      <c r="I1" s="831"/>
      <c r="J1" s="831"/>
    </row>
    <row r="2" spans="1:10" ht="19.5" customHeight="1">
      <c r="A2" s="831" t="s">
        <v>1613</v>
      </c>
      <c r="B2" s="831"/>
      <c r="C2" s="831"/>
      <c r="D2" s="831"/>
      <c r="E2" s="831"/>
      <c r="F2" s="831"/>
      <c r="G2" s="831"/>
      <c r="H2" s="831"/>
      <c r="I2" s="831"/>
      <c r="J2" s="382"/>
    </row>
    <row r="3" spans="1:10" ht="19.5" customHeight="1">
      <c r="A3" s="831" t="s">
        <v>1614</v>
      </c>
      <c r="B3" s="1423"/>
      <c r="C3" s="1423"/>
      <c r="D3" s="1423"/>
      <c r="E3" s="1423"/>
      <c r="F3" s="1423"/>
      <c r="G3" s="1423"/>
      <c r="H3" s="1423"/>
      <c r="I3" s="1423"/>
      <c r="J3" s="1423"/>
    </row>
    <row r="4" spans="1:10" s="1425" customFormat="1" ht="14.85" customHeight="1">
      <c r="A4" s="832"/>
      <c r="B4" s="832"/>
      <c r="C4" s="1424"/>
      <c r="D4" s="1424"/>
      <c r="E4" s="1424"/>
      <c r="F4" s="1424"/>
      <c r="G4" s="1424"/>
      <c r="H4" s="1424"/>
      <c r="I4" s="1424"/>
      <c r="J4" s="1424"/>
    </row>
    <row r="5" spans="1:10" s="551" customFormat="1" ht="20.25" customHeight="1">
      <c r="A5" s="1426"/>
      <c r="B5" s="1427"/>
      <c r="C5" s="1428" t="s">
        <v>1615</v>
      </c>
      <c r="D5" s="1429"/>
      <c r="E5" s="1429"/>
      <c r="F5" s="1430"/>
      <c r="G5" s="1431" t="s">
        <v>1616</v>
      </c>
      <c r="H5" s="1429"/>
      <c r="I5" s="1430"/>
      <c r="J5" s="450" t="s">
        <v>1617</v>
      </c>
    </row>
    <row r="6" spans="1:10" s="551" customFormat="1" ht="20.25" customHeight="1">
      <c r="A6" s="552" t="s">
        <v>1535</v>
      </c>
      <c r="B6" s="553"/>
      <c r="C6" s="554" t="s">
        <v>1618</v>
      </c>
      <c r="D6" s="555"/>
      <c r="E6" s="555"/>
      <c r="F6" s="556"/>
      <c r="G6" s="554" t="s">
        <v>1619</v>
      </c>
      <c r="H6" s="555"/>
      <c r="I6" s="555"/>
      <c r="J6" s="1432" t="s">
        <v>1620</v>
      </c>
    </row>
    <row r="7" spans="1:10" s="551" customFormat="1" ht="20.25" customHeight="1">
      <c r="A7" s="552" t="s">
        <v>1543</v>
      </c>
      <c r="B7" s="553"/>
      <c r="C7" s="1433" t="s">
        <v>921</v>
      </c>
      <c r="D7" s="1433" t="s">
        <v>1621</v>
      </c>
      <c r="E7" s="1433" t="s">
        <v>1622</v>
      </c>
      <c r="F7" s="1433" t="s">
        <v>386</v>
      </c>
      <c r="G7" s="1433" t="s">
        <v>921</v>
      </c>
      <c r="H7" s="1433" t="s">
        <v>1621</v>
      </c>
      <c r="I7" s="1434" t="s">
        <v>1622</v>
      </c>
      <c r="J7" s="1432" t="s">
        <v>1737</v>
      </c>
    </row>
    <row r="8" spans="1:10" s="551" customFormat="1" ht="20.25" customHeight="1">
      <c r="A8" s="557"/>
      <c r="B8" s="558"/>
      <c r="C8" s="1305" t="s">
        <v>953</v>
      </c>
      <c r="D8" s="1305" t="s">
        <v>927</v>
      </c>
      <c r="E8" s="1305" t="s">
        <v>999</v>
      </c>
      <c r="F8" s="1305" t="s">
        <v>397</v>
      </c>
      <c r="G8" s="1305" t="s">
        <v>953</v>
      </c>
      <c r="H8" s="1305" t="s">
        <v>927</v>
      </c>
      <c r="I8" s="1305" t="s">
        <v>999</v>
      </c>
      <c r="J8" s="1433" t="s">
        <v>1623</v>
      </c>
    </row>
    <row r="9" spans="1:10" s="551" customFormat="1" ht="20.25" customHeight="1">
      <c r="A9" s="961"/>
      <c r="B9" s="559"/>
      <c r="C9" s="1306"/>
      <c r="D9" s="1306"/>
      <c r="E9" s="1306"/>
      <c r="F9" s="1306"/>
      <c r="G9" s="1306"/>
      <c r="H9" s="1306"/>
      <c r="I9" s="1306"/>
      <c r="J9" s="1435" t="s">
        <v>736</v>
      </c>
    </row>
    <row r="10" spans="1:10" s="487" customFormat="1" ht="24" customHeight="1">
      <c r="A10" s="405">
        <v>2013</v>
      </c>
      <c r="B10" s="514"/>
      <c r="C10" s="512">
        <v>303721</v>
      </c>
      <c r="D10" s="512">
        <v>128687</v>
      </c>
      <c r="E10" s="512">
        <v>19328</v>
      </c>
      <c r="F10" s="512">
        <v>451736</v>
      </c>
      <c r="G10" s="513">
        <v>67.23</v>
      </c>
      <c r="H10" s="513">
        <v>28.49</v>
      </c>
      <c r="I10" s="513">
        <v>4.28</v>
      </c>
      <c r="J10" s="506" t="s">
        <v>297</v>
      </c>
    </row>
    <row r="11" spans="1:10" s="487" customFormat="1" ht="16.5" customHeight="1">
      <c r="A11" s="405">
        <v>2014</v>
      </c>
      <c r="B11" s="514"/>
      <c r="C11" s="512">
        <v>347180</v>
      </c>
      <c r="D11" s="512">
        <v>121701</v>
      </c>
      <c r="E11" s="512">
        <v>69792</v>
      </c>
      <c r="F11" s="512">
        <v>538674</v>
      </c>
      <c r="G11" s="513" t="s">
        <v>297</v>
      </c>
      <c r="H11" s="513" t="s">
        <v>297</v>
      </c>
      <c r="I11" s="513" t="s">
        <v>297</v>
      </c>
      <c r="J11" s="506" t="s">
        <v>297</v>
      </c>
    </row>
    <row r="12" spans="1:10" s="487" customFormat="1" ht="16.5" customHeight="1">
      <c r="A12" s="405">
        <v>2015</v>
      </c>
      <c r="B12" s="514"/>
      <c r="C12" s="512">
        <v>146411</v>
      </c>
      <c r="D12" s="512">
        <v>59530</v>
      </c>
      <c r="E12" s="512">
        <v>14009</v>
      </c>
      <c r="F12" s="512">
        <v>219949</v>
      </c>
      <c r="G12" s="513" t="s">
        <v>297</v>
      </c>
      <c r="H12" s="513" t="s">
        <v>297</v>
      </c>
      <c r="I12" s="513" t="s">
        <v>297</v>
      </c>
      <c r="J12" s="506" t="s">
        <v>297</v>
      </c>
    </row>
    <row r="13" spans="1:10" s="487" customFormat="1" ht="16.5" customHeight="1">
      <c r="A13" s="405">
        <v>2016</v>
      </c>
      <c r="B13" s="514"/>
      <c r="C13" s="512">
        <v>173464.86199999999</v>
      </c>
      <c r="D13" s="512">
        <v>45516.493999999999</v>
      </c>
      <c r="E13" s="512">
        <v>29926.627</v>
      </c>
      <c r="F13" s="512">
        <v>248907.98300000001</v>
      </c>
      <c r="G13" s="513" t="s">
        <v>297</v>
      </c>
      <c r="H13" s="513" t="s">
        <v>1624</v>
      </c>
      <c r="I13" s="513" t="s">
        <v>297</v>
      </c>
      <c r="J13" s="506" t="s">
        <v>297</v>
      </c>
    </row>
    <row r="14" spans="1:10" s="487" customFormat="1" ht="16.5" customHeight="1">
      <c r="A14" s="405">
        <v>2017</v>
      </c>
      <c r="B14" s="514"/>
      <c r="C14" s="512">
        <v>288357</v>
      </c>
      <c r="D14" s="512">
        <v>94549</v>
      </c>
      <c r="E14" s="512">
        <v>39771</v>
      </c>
      <c r="F14" s="512">
        <f>SUM(C14:E14)</f>
        <v>422677</v>
      </c>
      <c r="G14" s="513" t="s">
        <v>297</v>
      </c>
      <c r="H14" s="513" t="s">
        <v>1624</v>
      </c>
      <c r="I14" s="513" t="s">
        <v>297</v>
      </c>
      <c r="J14" s="506" t="s">
        <v>297</v>
      </c>
    </row>
    <row r="15" spans="1:10" s="487" customFormat="1" ht="16.5" customHeight="1">
      <c r="A15" s="405">
        <v>2018</v>
      </c>
      <c r="B15" s="514"/>
      <c r="C15" s="512">
        <v>357427.24830000004</v>
      </c>
      <c r="D15" s="512">
        <v>185370.85699999999</v>
      </c>
      <c r="E15" s="512">
        <v>104867.47100000001</v>
      </c>
      <c r="F15" s="512">
        <v>647665.57630000007</v>
      </c>
      <c r="G15" s="513" t="s">
        <v>297</v>
      </c>
      <c r="H15" s="513" t="s">
        <v>297</v>
      </c>
      <c r="I15" s="513" t="s">
        <v>297</v>
      </c>
      <c r="J15" s="506" t="s">
        <v>297</v>
      </c>
    </row>
    <row r="16" spans="1:10" s="487" customFormat="1" ht="16.5" customHeight="1">
      <c r="A16" s="405">
        <v>2019</v>
      </c>
      <c r="B16" s="514"/>
      <c r="C16" s="512">
        <v>345309</v>
      </c>
      <c r="D16" s="512">
        <v>151875</v>
      </c>
      <c r="E16" s="512">
        <v>75628</v>
      </c>
      <c r="F16" s="512">
        <v>572812</v>
      </c>
      <c r="G16" s="513" t="s">
        <v>297</v>
      </c>
      <c r="H16" s="513" t="s">
        <v>297</v>
      </c>
      <c r="I16" s="513" t="s">
        <v>297</v>
      </c>
      <c r="J16" s="506" t="s">
        <v>297</v>
      </c>
    </row>
    <row r="17" spans="1:10" s="487" customFormat="1" ht="16.5" customHeight="1">
      <c r="A17" s="405">
        <v>2020</v>
      </c>
      <c r="B17" s="514"/>
      <c r="C17" s="512">
        <v>318289.51189999998</v>
      </c>
      <c r="D17" s="512">
        <v>80420.298999999999</v>
      </c>
      <c r="E17" s="512">
        <v>26889.485000000001</v>
      </c>
      <c r="F17" s="512">
        <v>425599.29589999997</v>
      </c>
      <c r="G17" s="513" t="s">
        <v>297</v>
      </c>
      <c r="H17" s="513" t="s">
        <v>297</v>
      </c>
      <c r="I17" s="513" t="s">
        <v>297</v>
      </c>
      <c r="J17" s="506" t="s">
        <v>297</v>
      </c>
    </row>
    <row r="18" spans="1:10" s="487" customFormat="1" ht="16.5" customHeight="1">
      <c r="A18" s="405">
        <v>2021</v>
      </c>
      <c r="B18" s="514"/>
      <c r="C18" s="512">
        <f>SUM(C22:C25)</f>
        <v>293389.19</v>
      </c>
      <c r="D18" s="512">
        <f>SUM(D22:D25)</f>
        <v>72011.910999999993</v>
      </c>
      <c r="E18" s="512">
        <f>SUM(E22:E25)</f>
        <v>26014.940999999999</v>
      </c>
      <c r="F18" s="512">
        <f>SUM(C18:E18)</f>
        <v>391416.04200000002</v>
      </c>
      <c r="G18" s="513" t="s">
        <v>297</v>
      </c>
      <c r="H18" s="513" t="s">
        <v>297</v>
      </c>
      <c r="I18" s="513" t="s">
        <v>297</v>
      </c>
      <c r="J18" s="506" t="s">
        <v>297</v>
      </c>
    </row>
    <row r="19" spans="1:10" s="487" customFormat="1" ht="16.5" customHeight="1">
      <c r="A19" s="405">
        <v>2022</v>
      </c>
      <c r="B19" s="514"/>
      <c r="C19" s="512">
        <f>SUM(C26:C29)</f>
        <v>228118</v>
      </c>
      <c r="D19" s="512">
        <f t="shared" ref="D19:E19" si="0">SUM(D26:D29)</f>
        <v>65640</v>
      </c>
      <c r="E19" s="512">
        <f t="shared" si="0"/>
        <v>45820</v>
      </c>
      <c r="F19" s="512">
        <f>SUM(C19:E19)</f>
        <v>339578</v>
      </c>
      <c r="G19" s="513" t="s">
        <v>297</v>
      </c>
      <c r="H19" s="513" t="s">
        <v>297</v>
      </c>
      <c r="I19" s="513" t="s">
        <v>297</v>
      </c>
      <c r="J19" s="506" t="s">
        <v>297</v>
      </c>
    </row>
    <row r="20" spans="1:10" s="487" customFormat="1" ht="16.5" customHeight="1">
      <c r="A20" s="405">
        <v>2023</v>
      </c>
      <c r="B20" s="514"/>
      <c r="C20" s="512">
        <f>SUM(C30:C33)</f>
        <v>256854</v>
      </c>
      <c r="D20" s="512">
        <f t="shared" ref="D20:E20" si="1">SUM(D30:D33)</f>
        <v>95908</v>
      </c>
      <c r="E20" s="512">
        <f t="shared" si="1"/>
        <v>67715</v>
      </c>
      <c r="F20" s="512">
        <f>SUM(C20:E20)</f>
        <v>420477</v>
      </c>
      <c r="G20" s="513" t="s">
        <v>297</v>
      </c>
      <c r="H20" s="513" t="s">
        <v>297</v>
      </c>
      <c r="I20" s="513" t="s">
        <v>297</v>
      </c>
      <c r="J20" s="506" t="s">
        <v>297</v>
      </c>
    </row>
    <row r="21" spans="1:10" s="487" customFormat="1" ht="16.5" customHeight="1">
      <c r="A21" s="732">
        <v>2024</v>
      </c>
      <c r="B21" s="733"/>
      <c r="C21" s="776">
        <f>SUM(C34:C37)</f>
        <v>393888</v>
      </c>
      <c r="D21" s="776">
        <f t="shared" ref="D21:E21" si="2">SUM(D34:D37)</f>
        <v>186678</v>
      </c>
      <c r="E21" s="776">
        <f t="shared" si="2"/>
        <v>59032</v>
      </c>
      <c r="F21" s="776">
        <f>SUM(C21:E21)</f>
        <v>639598</v>
      </c>
      <c r="G21" s="734" t="s">
        <v>297</v>
      </c>
      <c r="H21" s="734" t="s">
        <v>297</v>
      </c>
      <c r="I21" s="734" t="s">
        <v>297</v>
      </c>
      <c r="J21" s="775" t="s">
        <v>297</v>
      </c>
    </row>
    <row r="22" spans="1:10" s="487" customFormat="1" ht="20.25" customHeight="1">
      <c r="A22" s="405">
        <v>2021</v>
      </c>
      <c r="B22" s="516" t="s">
        <v>243</v>
      </c>
      <c r="C22" s="512">
        <v>93801.86</v>
      </c>
      <c r="D22" s="512">
        <v>22230.556</v>
      </c>
      <c r="E22" s="1312">
        <v>4705.1980000000003</v>
      </c>
      <c r="F22" s="512">
        <f t="shared" ref="F22" si="3">SUM(C22:E22)</f>
        <v>120737.614</v>
      </c>
      <c r="G22" s="513" t="s">
        <v>297</v>
      </c>
      <c r="H22" s="513" t="s">
        <v>297</v>
      </c>
      <c r="I22" s="513" t="s">
        <v>297</v>
      </c>
      <c r="J22" s="506" t="s">
        <v>297</v>
      </c>
    </row>
    <row r="23" spans="1:10" s="487" customFormat="1" ht="15.75" customHeight="1">
      <c r="A23" s="405"/>
      <c r="B23" s="516" t="s">
        <v>244</v>
      </c>
      <c r="C23" s="512">
        <v>61131.372000000003</v>
      </c>
      <c r="D23" s="512">
        <v>18972.442999999999</v>
      </c>
      <c r="E23" s="512">
        <v>4496.1009999999997</v>
      </c>
      <c r="F23" s="512">
        <f t="shared" ref="F23:F29" si="4">SUM(C23:E23)</f>
        <v>84599.915999999997</v>
      </c>
      <c r="G23" s="513" t="s">
        <v>297</v>
      </c>
      <c r="H23" s="513" t="s">
        <v>297</v>
      </c>
      <c r="I23" s="513" t="s">
        <v>297</v>
      </c>
      <c r="J23" s="506" t="s">
        <v>297</v>
      </c>
    </row>
    <row r="24" spans="1:10" s="487" customFormat="1" ht="15.75" customHeight="1">
      <c r="A24" s="405"/>
      <c r="B24" s="516" t="s">
        <v>245</v>
      </c>
      <c r="C24" s="512">
        <v>72286.345000000001</v>
      </c>
      <c r="D24" s="512">
        <v>17663.858</v>
      </c>
      <c r="E24" s="512">
        <v>9827.4</v>
      </c>
      <c r="F24" s="512">
        <f t="shared" si="4"/>
        <v>99777.603000000003</v>
      </c>
      <c r="G24" s="513" t="s">
        <v>297</v>
      </c>
      <c r="H24" s="513" t="s">
        <v>297</v>
      </c>
      <c r="I24" s="513" t="s">
        <v>297</v>
      </c>
      <c r="J24" s="506" t="s">
        <v>297</v>
      </c>
    </row>
    <row r="25" spans="1:10" s="487" customFormat="1" ht="15.75" customHeight="1">
      <c r="A25" s="405"/>
      <c r="B25" s="516" t="s">
        <v>242</v>
      </c>
      <c r="C25" s="512">
        <v>66169.612999999998</v>
      </c>
      <c r="D25" s="512">
        <v>13145.054</v>
      </c>
      <c r="E25" s="512">
        <v>6986.2420000000002</v>
      </c>
      <c r="F25" s="512">
        <f t="shared" si="4"/>
        <v>86300.909</v>
      </c>
      <c r="G25" s="513" t="s">
        <v>297</v>
      </c>
      <c r="H25" s="513" t="s">
        <v>297</v>
      </c>
      <c r="I25" s="513" t="s">
        <v>297</v>
      </c>
      <c r="J25" s="506" t="s">
        <v>297</v>
      </c>
    </row>
    <row r="26" spans="1:10" s="487" customFormat="1" ht="20.25" customHeight="1">
      <c r="A26" s="405">
        <v>2022</v>
      </c>
      <c r="B26" s="516" t="s">
        <v>243</v>
      </c>
      <c r="C26" s="512">
        <v>74479</v>
      </c>
      <c r="D26" s="512">
        <v>19877</v>
      </c>
      <c r="E26" s="512">
        <v>12548</v>
      </c>
      <c r="F26" s="512">
        <f t="shared" si="4"/>
        <v>106904</v>
      </c>
      <c r="G26" s="513" t="s">
        <v>297</v>
      </c>
      <c r="H26" s="513" t="s">
        <v>297</v>
      </c>
      <c r="I26" s="513" t="s">
        <v>297</v>
      </c>
      <c r="J26" s="506" t="s">
        <v>297</v>
      </c>
    </row>
    <row r="27" spans="1:10" s="487" customFormat="1" ht="15.75" customHeight="1">
      <c r="A27" s="405"/>
      <c r="B27" s="516" t="s">
        <v>244</v>
      </c>
      <c r="C27" s="512">
        <v>65078</v>
      </c>
      <c r="D27" s="512">
        <v>19493</v>
      </c>
      <c r="E27" s="512">
        <v>13832</v>
      </c>
      <c r="F27" s="512">
        <f t="shared" si="4"/>
        <v>98403</v>
      </c>
      <c r="G27" s="513" t="s">
        <v>297</v>
      </c>
      <c r="H27" s="513" t="s">
        <v>297</v>
      </c>
      <c r="I27" s="513" t="s">
        <v>297</v>
      </c>
      <c r="J27" s="506" t="s">
        <v>297</v>
      </c>
    </row>
    <row r="28" spans="1:10" s="487" customFormat="1" ht="15.75" customHeight="1">
      <c r="A28" s="405"/>
      <c r="B28" s="516" t="s">
        <v>245</v>
      </c>
      <c r="C28" s="512">
        <v>46513</v>
      </c>
      <c r="D28" s="512">
        <v>12582</v>
      </c>
      <c r="E28" s="512">
        <v>13782</v>
      </c>
      <c r="F28" s="512">
        <f t="shared" si="4"/>
        <v>72877</v>
      </c>
      <c r="G28" s="513" t="s">
        <v>297</v>
      </c>
      <c r="H28" s="513" t="s">
        <v>297</v>
      </c>
      <c r="I28" s="513" t="s">
        <v>297</v>
      </c>
      <c r="J28" s="506" t="s">
        <v>297</v>
      </c>
    </row>
    <row r="29" spans="1:10" s="487" customFormat="1" ht="15.75" customHeight="1">
      <c r="A29" s="405"/>
      <c r="B29" s="516" t="s">
        <v>242</v>
      </c>
      <c r="C29" s="512">
        <v>42048</v>
      </c>
      <c r="D29" s="512">
        <v>13688</v>
      </c>
      <c r="E29" s="512">
        <v>5658</v>
      </c>
      <c r="F29" s="512">
        <f t="shared" si="4"/>
        <v>61394</v>
      </c>
      <c r="G29" s="513" t="s">
        <v>297</v>
      </c>
      <c r="H29" s="513" t="s">
        <v>297</v>
      </c>
      <c r="I29" s="513" t="s">
        <v>297</v>
      </c>
      <c r="J29" s="506" t="s">
        <v>297</v>
      </c>
    </row>
    <row r="30" spans="1:10" s="487" customFormat="1" ht="20.25" customHeight="1">
      <c r="A30" s="405">
        <v>2023</v>
      </c>
      <c r="B30" s="516" t="s">
        <v>243</v>
      </c>
      <c r="C30" s="512">
        <v>65714</v>
      </c>
      <c r="D30" s="512">
        <v>32527</v>
      </c>
      <c r="E30" s="512">
        <v>31837</v>
      </c>
      <c r="F30" s="512">
        <f t="shared" ref="F30:F31" si="5">SUM(C30:E30)</f>
        <v>130078</v>
      </c>
      <c r="G30" s="513" t="s">
        <v>297</v>
      </c>
      <c r="H30" s="513" t="s">
        <v>297</v>
      </c>
      <c r="I30" s="513" t="s">
        <v>297</v>
      </c>
      <c r="J30" s="506" t="s">
        <v>297</v>
      </c>
    </row>
    <row r="31" spans="1:10" s="487" customFormat="1" ht="15.75" customHeight="1">
      <c r="A31" s="405"/>
      <c r="B31" s="516" t="s">
        <v>244</v>
      </c>
      <c r="C31" s="512">
        <v>68791</v>
      </c>
      <c r="D31" s="512">
        <v>27153</v>
      </c>
      <c r="E31" s="512">
        <v>12589</v>
      </c>
      <c r="F31" s="512">
        <f t="shared" si="5"/>
        <v>108533</v>
      </c>
      <c r="G31" s="513" t="s">
        <v>297</v>
      </c>
      <c r="H31" s="513" t="s">
        <v>297</v>
      </c>
      <c r="I31" s="513" t="s">
        <v>297</v>
      </c>
      <c r="J31" s="506" t="s">
        <v>297</v>
      </c>
    </row>
    <row r="32" spans="1:10" s="487" customFormat="1" ht="15.75" customHeight="1">
      <c r="A32" s="405"/>
      <c r="B32" s="516" t="s">
        <v>245</v>
      </c>
      <c r="C32" s="512">
        <v>60989</v>
      </c>
      <c r="D32" s="512">
        <v>10001</v>
      </c>
      <c r="E32" s="512">
        <v>10450</v>
      </c>
      <c r="F32" s="512">
        <f t="shared" ref="F32:F34" si="6">SUM(C32:E32)</f>
        <v>81440</v>
      </c>
      <c r="G32" s="513" t="s">
        <v>297</v>
      </c>
      <c r="H32" s="513" t="s">
        <v>297</v>
      </c>
      <c r="I32" s="513" t="s">
        <v>297</v>
      </c>
      <c r="J32" s="506" t="s">
        <v>297</v>
      </c>
    </row>
    <row r="33" spans="1:10" s="487" customFormat="1" ht="15.75" customHeight="1">
      <c r="A33" s="405"/>
      <c r="B33" s="516" t="s">
        <v>242</v>
      </c>
      <c r="C33" s="512">
        <v>61360</v>
      </c>
      <c r="D33" s="512">
        <v>26227</v>
      </c>
      <c r="E33" s="512">
        <v>12839</v>
      </c>
      <c r="F33" s="512">
        <f t="shared" si="6"/>
        <v>100426</v>
      </c>
      <c r="G33" s="513" t="s">
        <v>297</v>
      </c>
      <c r="H33" s="513" t="s">
        <v>297</v>
      </c>
      <c r="I33" s="513" t="s">
        <v>297</v>
      </c>
      <c r="J33" s="506" t="s">
        <v>297</v>
      </c>
    </row>
    <row r="34" spans="1:10" s="487" customFormat="1" ht="20.25" customHeight="1">
      <c r="A34" s="405">
        <v>2024</v>
      </c>
      <c r="B34" s="516" t="s">
        <v>243</v>
      </c>
      <c r="C34" s="512">
        <v>103610</v>
      </c>
      <c r="D34" s="512">
        <v>38216</v>
      </c>
      <c r="E34" s="512">
        <v>28109</v>
      </c>
      <c r="F34" s="512">
        <f t="shared" si="6"/>
        <v>169935</v>
      </c>
      <c r="G34" s="513" t="s">
        <v>297</v>
      </c>
      <c r="H34" s="513" t="s">
        <v>297</v>
      </c>
      <c r="I34" s="513" t="s">
        <v>297</v>
      </c>
      <c r="J34" s="506" t="s">
        <v>297</v>
      </c>
    </row>
    <row r="35" spans="1:10" s="487" customFormat="1" ht="15.75" customHeight="1">
      <c r="A35" s="516"/>
      <c r="B35" s="516" t="s">
        <v>244</v>
      </c>
      <c r="C35" s="512">
        <v>106307</v>
      </c>
      <c r="D35" s="512">
        <v>29925</v>
      </c>
      <c r="E35" s="512">
        <v>8474</v>
      </c>
      <c r="F35" s="512">
        <f t="shared" ref="F35" si="7">SUM(C35:E35)</f>
        <v>144706</v>
      </c>
      <c r="G35" s="513" t="s">
        <v>297</v>
      </c>
      <c r="H35" s="513" t="s">
        <v>297</v>
      </c>
      <c r="I35" s="513" t="s">
        <v>297</v>
      </c>
      <c r="J35" s="506" t="s">
        <v>297</v>
      </c>
    </row>
    <row r="36" spans="1:10" s="487" customFormat="1" ht="15.75" customHeight="1">
      <c r="A36" s="516"/>
      <c r="B36" s="516" t="s">
        <v>245</v>
      </c>
      <c r="C36" s="512">
        <v>144828</v>
      </c>
      <c r="D36" s="512">
        <v>74782</v>
      </c>
      <c r="E36" s="512">
        <v>15675</v>
      </c>
      <c r="F36" s="512">
        <f t="shared" ref="F36" si="8">SUM(C36:E36)</f>
        <v>235285</v>
      </c>
      <c r="G36" s="513" t="s">
        <v>297</v>
      </c>
      <c r="H36" s="513" t="s">
        <v>297</v>
      </c>
      <c r="I36" s="513" t="s">
        <v>297</v>
      </c>
      <c r="J36" s="506" t="s">
        <v>297</v>
      </c>
    </row>
    <row r="37" spans="1:10" s="487" customFormat="1" ht="15.75" customHeight="1">
      <c r="A37" s="516"/>
      <c r="B37" s="516" t="s">
        <v>242</v>
      </c>
      <c r="C37" s="512">
        <v>39143</v>
      </c>
      <c r="D37" s="512">
        <v>43755</v>
      </c>
      <c r="E37" s="512">
        <v>6774</v>
      </c>
      <c r="F37" s="512">
        <f t="shared" ref="F37" si="9">SUM(C37:E37)</f>
        <v>89672</v>
      </c>
      <c r="G37" s="513" t="s">
        <v>297</v>
      </c>
      <c r="H37" s="513" t="s">
        <v>297</v>
      </c>
      <c r="I37" s="513" t="s">
        <v>297</v>
      </c>
      <c r="J37" s="506" t="s">
        <v>297</v>
      </c>
    </row>
    <row r="38" spans="1:10" ht="21.2" customHeight="1">
      <c r="A38" s="462" t="s">
        <v>1625</v>
      </c>
      <c r="B38" s="462"/>
      <c r="C38" s="462"/>
      <c r="D38" s="462"/>
      <c r="E38" s="462"/>
      <c r="F38" s="462"/>
      <c r="G38" s="462"/>
      <c r="H38" s="462"/>
      <c r="I38" s="462"/>
      <c r="J38" s="575" t="s">
        <v>1626</v>
      </c>
    </row>
    <row r="39" spans="1:10" ht="13.7" customHeight="1">
      <c r="A39" s="482" t="s">
        <v>1627</v>
      </c>
      <c r="J39" s="546" t="s">
        <v>1628</v>
      </c>
    </row>
    <row r="40" spans="1:10" ht="13.7" customHeight="1">
      <c r="A40" s="482" t="s">
        <v>1568</v>
      </c>
      <c r="J40" s="546" t="s">
        <v>1569</v>
      </c>
    </row>
    <row r="41" spans="1:10" ht="13.7" customHeight="1">
      <c r="A41" s="560"/>
      <c r="J41" s="1436"/>
    </row>
    <row r="42" spans="1:10" ht="14.25">
      <c r="A42" s="520" t="s">
        <v>1629</v>
      </c>
      <c r="B42" s="444"/>
      <c r="C42" s="444"/>
      <c r="D42" s="444"/>
      <c r="E42" s="444"/>
      <c r="F42" s="444"/>
      <c r="G42" s="444"/>
      <c r="H42" s="444"/>
      <c r="I42" s="444"/>
      <c r="J42" s="444"/>
    </row>
  </sheetData>
  <mergeCells count="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4" activePane="bottomLeft" state="frozen"/>
      <selection activeCell="B12" sqref="B12"/>
      <selection pane="bottomLeft" activeCell="D37" sqref="D37"/>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409" t="s">
        <v>1630</v>
      </c>
      <c r="B1" s="277"/>
      <c r="C1" s="277"/>
      <c r="D1" s="277"/>
      <c r="E1" s="277"/>
      <c r="F1" s="1309" t="s">
        <v>1631</v>
      </c>
    </row>
    <row r="2" spans="1:6" ht="18">
      <c r="A2" s="1409" t="s">
        <v>1632</v>
      </c>
      <c r="B2" s="277"/>
      <c r="C2" s="277"/>
      <c r="D2" s="277"/>
      <c r="E2" s="277"/>
      <c r="F2" s="1309"/>
    </row>
    <row r="3" spans="1:6" ht="18">
      <c r="A3" s="1409" t="s">
        <v>1633</v>
      </c>
      <c r="B3" s="277"/>
      <c r="C3" s="277"/>
      <c r="D3" s="277"/>
      <c r="E3" s="277"/>
      <c r="F3" s="1309"/>
    </row>
    <row r="4" spans="1:6" ht="14.25" customHeight="1">
      <c r="A4" s="149" t="s">
        <v>1634</v>
      </c>
      <c r="E4" s="411" t="s">
        <v>1635</v>
      </c>
      <c r="F4" s="1309"/>
    </row>
    <row r="5" spans="1:6" ht="21.2" customHeight="1">
      <c r="A5" s="1307" t="s">
        <v>383</v>
      </c>
      <c r="B5" s="1307" t="s">
        <v>1636</v>
      </c>
      <c r="C5" s="1410" t="s">
        <v>1637</v>
      </c>
      <c r="D5" s="1411" t="s">
        <v>1638</v>
      </c>
      <c r="E5" s="1412" t="s">
        <v>1639</v>
      </c>
      <c r="F5" s="1309"/>
    </row>
    <row r="6" spans="1:6" s="563" customFormat="1" ht="28.5" customHeight="1">
      <c r="A6" s="1308"/>
      <c r="B6" s="1308"/>
      <c r="C6" s="892" t="s">
        <v>1640</v>
      </c>
      <c r="D6" s="561" t="s">
        <v>1641</v>
      </c>
      <c r="E6" s="562" t="s">
        <v>1642</v>
      </c>
      <c r="F6" s="1309"/>
    </row>
    <row r="7" spans="1:6" s="563" customFormat="1" ht="41.25" customHeight="1">
      <c r="A7" s="1413" t="s">
        <v>391</v>
      </c>
      <c r="B7" s="1413" t="s">
        <v>1643</v>
      </c>
      <c r="C7" s="473" t="s">
        <v>1644</v>
      </c>
      <c r="D7" s="1414" t="s">
        <v>1645</v>
      </c>
      <c r="E7" s="1413" t="s">
        <v>1646</v>
      </c>
      <c r="F7" s="1309"/>
    </row>
    <row r="8" spans="1:6" ht="24.95" customHeight="1">
      <c r="A8" s="1415" t="s">
        <v>1651</v>
      </c>
      <c r="B8" s="1416" t="s">
        <v>1647</v>
      </c>
      <c r="C8" s="893">
        <v>263540.69413000002</v>
      </c>
      <c r="D8" s="893">
        <v>508493</v>
      </c>
      <c r="E8" s="893">
        <f t="shared" ref="E8:E11" si="0">SUM(C8:D8)</f>
        <v>772033.69412999996</v>
      </c>
      <c r="F8" s="1309"/>
    </row>
    <row r="9" spans="1:6" ht="18.600000000000001" customHeight="1">
      <c r="A9" s="1417"/>
      <c r="B9" s="1418" t="s">
        <v>1648</v>
      </c>
      <c r="C9" s="894">
        <v>349675.01</v>
      </c>
      <c r="D9" s="894">
        <v>1605192</v>
      </c>
      <c r="E9" s="894">
        <f t="shared" si="0"/>
        <v>1954867.01</v>
      </c>
      <c r="F9" s="1309"/>
    </row>
    <row r="10" spans="1:6" ht="18.600000000000001" customHeight="1">
      <c r="A10" s="1417"/>
      <c r="B10" s="1419" t="s">
        <v>1649</v>
      </c>
      <c r="C10" s="894">
        <v>7225115.6299999999</v>
      </c>
      <c r="D10" s="894">
        <v>1615510</v>
      </c>
      <c r="E10" s="895">
        <f t="shared" si="0"/>
        <v>8840625.629999999</v>
      </c>
      <c r="F10" s="1309"/>
    </row>
    <row r="11" spans="1:6" ht="18.600000000000001" customHeight="1">
      <c r="A11" s="1420"/>
      <c r="B11" s="1421" t="s">
        <v>1650</v>
      </c>
      <c r="C11" s="1422">
        <f>SUM(C8:C10)</f>
        <v>7838331.3341300003</v>
      </c>
      <c r="D11" s="1422">
        <f>SUM(D8:D10)</f>
        <v>3729195</v>
      </c>
      <c r="E11" s="1422">
        <f t="shared" si="0"/>
        <v>11567526.33413</v>
      </c>
      <c r="F11" s="1309"/>
    </row>
    <row r="12" spans="1:6" ht="24.95" customHeight="1">
      <c r="A12" s="1415" t="s">
        <v>1652</v>
      </c>
      <c r="B12" s="1416" t="s">
        <v>1647</v>
      </c>
      <c r="C12" s="893">
        <v>261968</v>
      </c>
      <c r="D12" s="893">
        <v>468349</v>
      </c>
      <c r="E12" s="893">
        <f t="shared" ref="E12:E15" si="1">SUM(C12:D12)</f>
        <v>730317</v>
      </c>
      <c r="F12" s="1309"/>
    </row>
    <row r="13" spans="1:6" ht="18.600000000000001" customHeight="1">
      <c r="A13" s="1417"/>
      <c r="B13" s="1418" t="s">
        <v>1648</v>
      </c>
      <c r="C13" s="894">
        <v>484912.61</v>
      </c>
      <c r="D13" s="894">
        <v>1600671</v>
      </c>
      <c r="E13" s="894">
        <f t="shared" si="1"/>
        <v>2085583.6099999999</v>
      </c>
      <c r="F13" s="1309"/>
    </row>
    <row r="14" spans="1:6" ht="18.600000000000001" customHeight="1">
      <c r="A14" s="1417"/>
      <c r="B14" s="1419" t="s">
        <v>1649</v>
      </c>
      <c r="C14" s="894">
        <v>7249185</v>
      </c>
      <c r="D14" s="894">
        <v>1707329</v>
      </c>
      <c r="E14" s="895">
        <f t="shared" si="1"/>
        <v>8956514</v>
      </c>
      <c r="F14" s="1309"/>
    </row>
    <row r="15" spans="1:6" ht="18.600000000000001" customHeight="1">
      <c r="A15" s="1420"/>
      <c r="B15" s="1421" t="s">
        <v>1650</v>
      </c>
      <c r="C15" s="1422">
        <f>SUM(C12:C14)</f>
        <v>7996065.6100000003</v>
      </c>
      <c r="D15" s="1422">
        <f>SUM(D12:D14)</f>
        <v>3776349</v>
      </c>
      <c r="E15" s="1422">
        <f t="shared" si="1"/>
        <v>11772414.609999999</v>
      </c>
      <c r="F15" s="1309"/>
    </row>
    <row r="16" spans="1:6" ht="24.95" customHeight="1">
      <c r="A16" s="1415" t="s">
        <v>1653</v>
      </c>
      <c r="B16" s="1416" t="s">
        <v>1647</v>
      </c>
      <c r="C16" s="893">
        <v>262847</v>
      </c>
      <c r="D16" s="893">
        <v>456235</v>
      </c>
      <c r="E16" s="893">
        <f t="shared" ref="E16:E19" si="2">SUM(C16:D16)</f>
        <v>719082</v>
      </c>
      <c r="F16" s="1309"/>
    </row>
    <row r="17" spans="1:6" ht="18.600000000000001" customHeight="1">
      <c r="A17" s="1417"/>
      <c r="B17" s="1418" t="s">
        <v>1648</v>
      </c>
      <c r="C17" s="894">
        <v>582182.30000000005</v>
      </c>
      <c r="D17" s="894">
        <v>1434150</v>
      </c>
      <c r="E17" s="894">
        <f t="shared" si="2"/>
        <v>2016332.3</v>
      </c>
      <c r="F17" s="1309"/>
    </row>
    <row r="18" spans="1:6" ht="18.600000000000001" customHeight="1">
      <c r="A18" s="1417"/>
      <c r="B18" s="1419" t="s">
        <v>1649</v>
      </c>
      <c r="C18" s="894">
        <v>6295588</v>
      </c>
      <c r="D18" s="894">
        <v>1612682</v>
      </c>
      <c r="E18" s="895">
        <f t="shared" si="2"/>
        <v>7908270</v>
      </c>
      <c r="F18" s="1309"/>
    </row>
    <row r="19" spans="1:6" ht="18.600000000000001" customHeight="1">
      <c r="A19" s="1420"/>
      <c r="B19" s="1421" t="s">
        <v>1650</v>
      </c>
      <c r="C19" s="1422">
        <f>SUM(C16:C18)</f>
        <v>7140617.2999999998</v>
      </c>
      <c r="D19" s="1422">
        <f>SUM(D16:D18)</f>
        <v>3503067</v>
      </c>
      <c r="E19" s="1422">
        <f t="shared" si="2"/>
        <v>10643684.300000001</v>
      </c>
      <c r="F19" s="1309"/>
    </row>
    <row r="20" spans="1:6" ht="24.95" customHeight="1">
      <c r="A20" s="1415" t="s">
        <v>1654</v>
      </c>
      <c r="B20" s="1416" t="s">
        <v>1647</v>
      </c>
      <c r="C20" s="893">
        <v>262030.78</v>
      </c>
      <c r="D20" s="893">
        <v>422544</v>
      </c>
      <c r="E20" s="893">
        <f t="shared" ref="E20:E23" si="3">SUM(C20:D20)</f>
        <v>684574.78</v>
      </c>
      <c r="F20" s="1309"/>
    </row>
    <row r="21" spans="1:6" ht="18.600000000000001" customHeight="1">
      <c r="A21" s="1417"/>
      <c r="B21" s="1418" t="s">
        <v>1648</v>
      </c>
      <c r="C21" s="894">
        <v>848251.2</v>
      </c>
      <c r="D21" s="894">
        <v>1443893</v>
      </c>
      <c r="E21" s="894">
        <f t="shared" si="3"/>
        <v>2292144.2000000002</v>
      </c>
      <c r="F21" s="1309"/>
    </row>
    <row r="22" spans="1:6" ht="18.600000000000001" customHeight="1">
      <c r="A22" s="1417"/>
      <c r="B22" s="1419" t="s">
        <v>1649</v>
      </c>
      <c r="C22" s="894">
        <v>6268254</v>
      </c>
      <c r="D22" s="894">
        <v>1624023</v>
      </c>
      <c r="E22" s="1311">
        <f t="shared" si="3"/>
        <v>7892277</v>
      </c>
      <c r="F22" s="1309"/>
    </row>
    <row r="23" spans="1:6" ht="18.600000000000001" customHeight="1">
      <c r="A23" s="1420"/>
      <c r="B23" s="1421" t="s">
        <v>1650</v>
      </c>
      <c r="C23" s="1422">
        <f>SUM(C20:C22)</f>
        <v>7378535.9800000004</v>
      </c>
      <c r="D23" s="1422">
        <f>SUM(D20:D22)</f>
        <v>3490460</v>
      </c>
      <c r="E23" s="1422">
        <f t="shared" si="3"/>
        <v>10868995.98</v>
      </c>
      <c r="F23" s="1309"/>
    </row>
    <row r="24" spans="1:6" ht="24.95" customHeight="1">
      <c r="A24" s="1415" t="s">
        <v>1655</v>
      </c>
      <c r="B24" s="1416" t="s">
        <v>1647</v>
      </c>
      <c r="C24" s="893">
        <v>267652</v>
      </c>
      <c r="D24" s="893">
        <v>433652</v>
      </c>
      <c r="E24" s="893">
        <f t="shared" ref="E24:E27" si="4">SUM(C24:D24)</f>
        <v>701304</v>
      </c>
      <c r="F24" s="1309"/>
    </row>
    <row r="25" spans="1:6" ht="18.600000000000001" customHeight="1">
      <c r="A25" s="1417"/>
      <c r="B25" s="1418" t="s">
        <v>1648</v>
      </c>
      <c r="C25" s="894">
        <v>801789</v>
      </c>
      <c r="D25" s="894">
        <v>1739087</v>
      </c>
      <c r="E25" s="894">
        <f t="shared" si="4"/>
        <v>2540876</v>
      </c>
      <c r="F25" s="1309"/>
    </row>
    <row r="26" spans="1:6" ht="18.600000000000001" customHeight="1">
      <c r="A26" s="1417"/>
      <c r="B26" s="1419" t="s">
        <v>1649</v>
      </c>
      <c r="C26" s="894">
        <v>6245079</v>
      </c>
      <c r="D26" s="894">
        <v>1652984</v>
      </c>
      <c r="E26" s="895">
        <f t="shared" si="4"/>
        <v>7898063</v>
      </c>
      <c r="F26" s="1309"/>
    </row>
    <row r="27" spans="1:6" ht="18.600000000000001" customHeight="1">
      <c r="A27" s="1420"/>
      <c r="B27" s="1421" t="s">
        <v>1650</v>
      </c>
      <c r="C27" s="1422">
        <f>SUM(C24:C26)</f>
        <v>7314520</v>
      </c>
      <c r="D27" s="1422">
        <f>SUM(D24:D26)</f>
        <v>3825723</v>
      </c>
      <c r="E27" s="1422">
        <f t="shared" si="4"/>
        <v>11140243</v>
      </c>
      <c r="F27" s="1309"/>
    </row>
    <row r="28" spans="1:6" ht="24.95" customHeight="1">
      <c r="A28" s="1415" t="s">
        <v>1671</v>
      </c>
      <c r="B28" s="1416" t="s">
        <v>1647</v>
      </c>
      <c r="C28" s="893">
        <v>272037</v>
      </c>
      <c r="D28" s="893">
        <v>448668</v>
      </c>
      <c r="E28" s="893">
        <f t="shared" ref="E28:E31" si="5">SUM(C28:D28)</f>
        <v>720705</v>
      </c>
      <c r="F28" s="1309"/>
    </row>
    <row r="29" spans="1:6" ht="18.600000000000001" customHeight="1">
      <c r="A29" s="1417"/>
      <c r="B29" s="1418" t="s">
        <v>1648</v>
      </c>
      <c r="C29" s="894">
        <v>824749</v>
      </c>
      <c r="D29" s="894">
        <v>1759706</v>
      </c>
      <c r="E29" s="894">
        <f t="shared" si="5"/>
        <v>2584455</v>
      </c>
      <c r="F29" s="1309"/>
    </row>
    <row r="30" spans="1:6" ht="18.600000000000001" customHeight="1">
      <c r="A30" s="1417"/>
      <c r="B30" s="1419" t="s">
        <v>1649</v>
      </c>
      <c r="C30" s="894">
        <v>6532787</v>
      </c>
      <c r="D30" s="894">
        <v>1712974</v>
      </c>
      <c r="E30" s="895">
        <f t="shared" si="5"/>
        <v>8245761</v>
      </c>
      <c r="F30" s="1309"/>
    </row>
    <row r="31" spans="1:6" ht="18.600000000000001" customHeight="1">
      <c r="A31" s="1420"/>
      <c r="B31" s="1421" t="s">
        <v>1650</v>
      </c>
      <c r="C31" s="1422">
        <f>SUM(C28:C30)</f>
        <v>7629573</v>
      </c>
      <c r="D31" s="1422">
        <f>SUM(D28:D30)</f>
        <v>3921348</v>
      </c>
      <c r="E31" s="1422">
        <f t="shared" si="5"/>
        <v>11550921</v>
      </c>
      <c r="F31" s="1309"/>
    </row>
    <row r="32" spans="1:6" ht="24.95" customHeight="1">
      <c r="A32" s="1415" t="s">
        <v>1693</v>
      </c>
      <c r="B32" s="1416" t="s">
        <v>1647</v>
      </c>
      <c r="C32" s="893">
        <v>279943</v>
      </c>
      <c r="D32" s="893">
        <v>433891</v>
      </c>
      <c r="E32" s="893">
        <f t="shared" ref="E32:E35" si="6">SUM(C32:D32)</f>
        <v>713834</v>
      </c>
      <c r="F32" s="1309"/>
    </row>
    <row r="33" spans="1:6" ht="18.600000000000001" customHeight="1">
      <c r="A33" s="1417"/>
      <c r="B33" s="1418" t="s">
        <v>1648</v>
      </c>
      <c r="C33" s="894">
        <v>840459</v>
      </c>
      <c r="D33" s="894">
        <v>1415973</v>
      </c>
      <c r="E33" s="894">
        <f t="shared" si="6"/>
        <v>2256432</v>
      </c>
      <c r="F33" s="1309"/>
    </row>
    <row r="34" spans="1:6" ht="18.600000000000001" customHeight="1">
      <c r="A34" s="1417"/>
      <c r="B34" s="1419" t="s">
        <v>1649</v>
      </c>
      <c r="C34" s="894">
        <v>6449427</v>
      </c>
      <c r="D34" s="894">
        <v>1759064</v>
      </c>
      <c r="E34" s="895">
        <f t="shared" si="6"/>
        <v>8208491</v>
      </c>
      <c r="F34" s="1309"/>
    </row>
    <row r="35" spans="1:6" ht="18.600000000000001" customHeight="1">
      <c r="A35" s="1420"/>
      <c r="B35" s="1421" t="s">
        <v>1650</v>
      </c>
      <c r="C35" s="1422">
        <f>SUM(C32:C34)</f>
        <v>7569829</v>
      </c>
      <c r="D35" s="1422">
        <f>SUM(D32:D34)</f>
        <v>3608928</v>
      </c>
      <c r="E35" s="1422">
        <f t="shared" si="6"/>
        <v>11178757</v>
      </c>
      <c r="F35" s="1309"/>
    </row>
    <row r="36" spans="1:6" ht="24.95" customHeight="1">
      <c r="A36" s="1415" t="s">
        <v>1714</v>
      </c>
      <c r="B36" s="1416" t="s">
        <v>1647</v>
      </c>
      <c r="C36" s="893">
        <v>282484</v>
      </c>
      <c r="D36" s="893">
        <v>447708</v>
      </c>
      <c r="E36" s="893">
        <f t="shared" ref="E36:E39" si="7">SUM(C36:D36)</f>
        <v>730192</v>
      </c>
      <c r="F36" s="1309"/>
    </row>
    <row r="37" spans="1:6" ht="18.600000000000001" customHeight="1">
      <c r="A37" s="1417"/>
      <c r="B37" s="1418" t="s">
        <v>1648</v>
      </c>
      <c r="C37" s="894">
        <v>845818</v>
      </c>
      <c r="D37" s="894">
        <v>1417297</v>
      </c>
      <c r="E37" s="894">
        <f t="shared" si="7"/>
        <v>2263115</v>
      </c>
      <c r="F37" s="1309"/>
    </row>
    <row r="38" spans="1:6" ht="18.600000000000001" customHeight="1">
      <c r="A38" s="1417"/>
      <c r="B38" s="1419" t="s">
        <v>1649</v>
      </c>
      <c r="C38" s="894">
        <v>6448564</v>
      </c>
      <c r="D38" s="894">
        <v>1790249</v>
      </c>
      <c r="E38" s="895">
        <f t="shared" si="7"/>
        <v>8238813</v>
      </c>
      <c r="F38" s="1309"/>
    </row>
    <row r="39" spans="1:6" ht="18.600000000000001" customHeight="1">
      <c r="A39" s="1420"/>
      <c r="B39" s="1421" t="s">
        <v>1650</v>
      </c>
      <c r="C39" s="1422">
        <f>SUM(C36:C38)</f>
        <v>7576866</v>
      </c>
      <c r="D39" s="1422">
        <f>SUM(D36:D38)</f>
        <v>3655254</v>
      </c>
      <c r="E39" s="1422">
        <f t="shared" si="7"/>
        <v>11232120</v>
      </c>
      <c r="F39" s="1309"/>
    </row>
    <row r="40" spans="1:6" ht="24.95" customHeight="1">
      <c r="A40" s="1415" t="s">
        <v>1729</v>
      </c>
      <c r="B40" s="1416" t="s">
        <v>1647</v>
      </c>
      <c r="C40" s="893">
        <v>272907</v>
      </c>
      <c r="D40" s="893">
        <v>450763</v>
      </c>
      <c r="E40" s="893">
        <f t="shared" ref="E40:E43" si="8">SUM(C40:D40)</f>
        <v>723670</v>
      </c>
      <c r="F40" s="1234"/>
    </row>
    <row r="41" spans="1:6" ht="18.600000000000001" customHeight="1">
      <c r="A41" s="1417"/>
      <c r="B41" s="1418" t="s">
        <v>1648</v>
      </c>
      <c r="C41" s="894">
        <v>834226</v>
      </c>
      <c r="D41" s="894">
        <v>1388423</v>
      </c>
      <c r="E41" s="894">
        <f t="shared" si="8"/>
        <v>2222649</v>
      </c>
      <c r="F41" s="1234"/>
    </row>
    <row r="42" spans="1:6" ht="18.600000000000001" customHeight="1">
      <c r="A42" s="1417"/>
      <c r="B42" s="1419" t="s">
        <v>1649</v>
      </c>
      <c r="C42" s="894">
        <v>6449609</v>
      </c>
      <c r="D42" s="894">
        <v>1773186</v>
      </c>
      <c r="E42" s="895">
        <f t="shared" si="8"/>
        <v>8222795</v>
      </c>
      <c r="F42" s="1234"/>
    </row>
    <row r="43" spans="1:6" ht="18.600000000000001" customHeight="1">
      <c r="A43" s="1420"/>
      <c r="B43" s="1421" t="s">
        <v>1650</v>
      </c>
      <c r="C43" s="1422">
        <f>SUM(C40:C42)</f>
        <v>7556742</v>
      </c>
      <c r="D43" s="1422">
        <f>SUM(D40:D42)</f>
        <v>3612372</v>
      </c>
      <c r="E43" s="1422">
        <f t="shared" si="8"/>
        <v>11169114</v>
      </c>
      <c r="F43" s="1234"/>
    </row>
  </sheetData>
  <mergeCells count="3">
    <mergeCell ref="A5:A6"/>
    <mergeCell ref="B5:B6"/>
    <mergeCell ref="F1:F39"/>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5" activePane="bottomLeft" state="frozen"/>
      <selection activeCell="B12" sqref="B12"/>
      <selection pane="bottomLeft" activeCell="H42" sqref="H42"/>
    </sheetView>
  </sheetViews>
  <sheetFormatPr defaultColWidth="7.85546875" defaultRowHeight="15"/>
  <cols>
    <col min="1" max="2" width="9.28515625" style="25" customWidth="1"/>
    <col min="3" max="10" width="16.85546875" style="13" customWidth="1"/>
    <col min="11" max="16384" width="7.85546875" style="13"/>
  </cols>
  <sheetData>
    <row r="1" spans="1:11" s="26" customFormat="1" ht="18" customHeight="1">
      <c r="A1" s="2019" t="s">
        <v>1791</v>
      </c>
      <c r="B1" s="1746"/>
      <c r="C1" s="1746"/>
      <c r="D1" s="1746"/>
      <c r="E1" s="1746"/>
      <c r="F1" s="1746"/>
      <c r="G1" s="1746"/>
      <c r="H1" s="1746"/>
      <c r="I1" s="1746"/>
      <c r="J1" s="1746"/>
    </row>
    <row r="2" spans="1:11" s="26" customFormat="1" ht="18" customHeight="1">
      <c r="A2" s="2020" t="s">
        <v>11</v>
      </c>
      <c r="B2" s="1746"/>
      <c r="C2" s="1746"/>
      <c r="D2" s="1746"/>
      <c r="E2" s="1746"/>
      <c r="F2" s="1746"/>
      <c r="G2" s="1746"/>
      <c r="H2" s="1746"/>
      <c r="I2" s="1746"/>
      <c r="J2" s="1746"/>
    </row>
    <row r="3" spans="1:11" s="26" customFormat="1" ht="18" customHeight="1">
      <c r="A3" s="2019" t="s">
        <v>10</v>
      </c>
      <c r="B3" s="1746"/>
      <c r="C3" s="10"/>
      <c r="D3" s="1746"/>
      <c r="E3" s="1746"/>
      <c r="F3" s="1746"/>
      <c r="G3" s="1746"/>
      <c r="H3" s="1746"/>
      <c r="I3" s="1746"/>
      <c r="J3" s="1746"/>
    </row>
    <row r="4" spans="1:11" s="14" customFormat="1" ht="2.25" customHeight="1">
      <c r="A4" s="13"/>
      <c r="B4" s="13"/>
      <c r="C4" s="12"/>
      <c r="D4" s="12"/>
      <c r="E4" s="12"/>
      <c r="F4" s="12"/>
      <c r="G4" s="12"/>
      <c r="H4" s="12"/>
      <c r="I4" s="12"/>
      <c r="J4" s="25"/>
    </row>
    <row r="5" spans="1:11" s="14" customFormat="1" ht="14.25" customHeight="1">
      <c r="A5" s="35" t="s">
        <v>373</v>
      </c>
      <c r="B5" s="13"/>
      <c r="C5" s="29"/>
      <c r="D5" s="29"/>
      <c r="E5" s="29"/>
      <c r="F5" s="29"/>
      <c r="G5" s="29"/>
      <c r="H5" s="29"/>
      <c r="I5" s="29"/>
      <c r="J5" s="36" t="s">
        <v>374</v>
      </c>
    </row>
    <row r="6" spans="1:11" s="41" customFormat="1" ht="18.600000000000001" customHeight="1">
      <c r="A6" s="27"/>
      <c r="B6" s="46"/>
      <c r="C6" s="99" t="s">
        <v>494</v>
      </c>
      <c r="D6" s="100"/>
      <c r="E6" s="81"/>
      <c r="F6" s="99" t="s">
        <v>495</v>
      </c>
      <c r="G6" s="100"/>
      <c r="H6" s="100"/>
      <c r="I6" s="81"/>
      <c r="J6" s="943" t="s">
        <v>9</v>
      </c>
    </row>
    <row r="7" spans="1:11" s="41" customFormat="1" ht="18.600000000000001" customHeight="1">
      <c r="A7" s="28"/>
      <c r="B7" s="81"/>
      <c r="C7" s="102" t="s">
        <v>496</v>
      </c>
      <c r="D7" s="102"/>
      <c r="E7" s="103"/>
      <c r="F7" s="102" t="s">
        <v>497</v>
      </c>
      <c r="G7" s="102"/>
      <c r="H7" s="102"/>
      <c r="I7" s="103"/>
      <c r="J7" s="107" t="s">
        <v>462</v>
      </c>
    </row>
    <row r="8" spans="1:11" s="39" customFormat="1" ht="18.600000000000001" customHeight="1">
      <c r="A8" s="24" t="s">
        <v>383</v>
      </c>
      <c r="B8" s="74"/>
      <c r="C8" s="78" t="s">
        <v>498</v>
      </c>
      <c r="D8" s="95" t="s">
        <v>499</v>
      </c>
      <c r="E8" s="64"/>
      <c r="F8" s="78" t="s">
        <v>500</v>
      </c>
      <c r="G8" s="95" t="s">
        <v>500</v>
      </c>
      <c r="H8" s="95" t="s">
        <v>501</v>
      </c>
      <c r="I8" s="64"/>
      <c r="J8" s="271" t="s">
        <v>467</v>
      </c>
    </row>
    <row r="9" spans="1:11" s="41" customFormat="1" ht="18.600000000000001" customHeight="1">
      <c r="A9" s="82" t="s">
        <v>391</v>
      </c>
      <c r="B9" s="81"/>
      <c r="C9" s="108" t="s">
        <v>502</v>
      </c>
      <c r="D9" s="106" t="s">
        <v>503</v>
      </c>
      <c r="E9" s="106" t="s">
        <v>386</v>
      </c>
      <c r="F9" s="105" t="s">
        <v>395</v>
      </c>
      <c r="G9" s="106" t="s">
        <v>504</v>
      </c>
      <c r="H9" s="106" t="s">
        <v>505</v>
      </c>
      <c r="I9" s="73" t="s">
        <v>386</v>
      </c>
      <c r="J9" s="73" t="s">
        <v>474</v>
      </c>
    </row>
    <row r="10" spans="1:11" s="50" customFormat="1" ht="14.25" customHeight="1">
      <c r="A10" s="82"/>
      <c r="B10" s="83"/>
      <c r="C10" s="96" t="s">
        <v>506</v>
      </c>
      <c r="D10" s="84" t="s">
        <v>507</v>
      </c>
      <c r="E10" s="84"/>
      <c r="F10" s="109" t="s">
        <v>403</v>
      </c>
      <c r="G10" s="84" t="s">
        <v>403</v>
      </c>
      <c r="H10" s="84" t="s">
        <v>404</v>
      </c>
      <c r="I10" s="110"/>
      <c r="J10" s="73" t="s">
        <v>508</v>
      </c>
    </row>
    <row r="11" spans="1:11" s="50" customFormat="1" ht="14.25" customHeight="1">
      <c r="A11" s="82"/>
      <c r="B11" s="83"/>
      <c r="C11" s="64" t="s">
        <v>509</v>
      </c>
      <c r="D11" s="110" t="s">
        <v>410</v>
      </c>
      <c r="E11" s="110" t="s">
        <v>397</v>
      </c>
      <c r="F11" s="110" t="s">
        <v>510</v>
      </c>
      <c r="G11" s="110" t="s">
        <v>511</v>
      </c>
      <c r="H11" s="110" t="s">
        <v>512</v>
      </c>
      <c r="I11" s="110" t="s">
        <v>397</v>
      </c>
      <c r="J11" s="84" t="s">
        <v>513</v>
      </c>
    </row>
    <row r="12" spans="1:11" s="50" customFormat="1" ht="14.25" customHeight="1">
      <c r="A12" s="111"/>
      <c r="B12" s="112"/>
      <c r="C12" s="89"/>
      <c r="D12" s="90"/>
      <c r="E12" s="90"/>
      <c r="F12" s="90"/>
      <c r="G12" s="90"/>
      <c r="H12" s="90"/>
      <c r="I12" s="90"/>
      <c r="J12" s="89" t="s">
        <v>259</v>
      </c>
    </row>
    <row r="13" spans="1:11" s="306" customFormat="1" ht="20.25" customHeight="1">
      <c r="A13" s="405">
        <v>2015</v>
      </c>
      <c r="B13" s="406"/>
      <c r="C13" s="2023">
        <v>1171.4000000000001</v>
      </c>
      <c r="D13" s="673">
        <v>-371.47685041592558</v>
      </c>
      <c r="E13" s="676">
        <v>799.92314958407451</v>
      </c>
      <c r="F13" s="673">
        <v>4398.6006798342505</v>
      </c>
      <c r="G13" s="676">
        <v>8627.4141532148751</v>
      </c>
      <c r="H13" s="673">
        <v>-1930.746319067639</v>
      </c>
      <c r="I13" s="676">
        <v>11095.268513981486</v>
      </c>
      <c r="J13" s="2024">
        <v>11895.181621364602</v>
      </c>
    </row>
    <row r="14" spans="1:11" s="408" customFormat="1" ht="14.25" customHeight="1">
      <c r="A14" s="356">
        <v>2016</v>
      </c>
      <c r="B14" s="407"/>
      <c r="C14" s="2025">
        <v>818.4</v>
      </c>
      <c r="D14" s="2026">
        <v>-588.26338214329007</v>
      </c>
      <c r="E14" s="2027">
        <v>230.1366178567099</v>
      </c>
      <c r="F14" s="2026">
        <v>5626.8132624427144</v>
      </c>
      <c r="G14" s="2027">
        <v>8755.5592465315076</v>
      </c>
      <c r="H14" s="2026">
        <v>-2590.6833779628132</v>
      </c>
      <c r="I14" s="2027">
        <v>11791.689131011408</v>
      </c>
      <c r="J14" s="2027">
        <v>12021.82690553366</v>
      </c>
    </row>
    <row r="15" spans="1:11" s="408" customFormat="1" ht="14.25" customHeight="1">
      <c r="A15" s="356">
        <v>2017</v>
      </c>
      <c r="B15" s="407"/>
      <c r="C15" s="2025">
        <v>883.1</v>
      </c>
      <c r="D15" s="2026">
        <v>-921.46110953044877</v>
      </c>
      <c r="E15" s="2027">
        <v>-38.361109530448743</v>
      </c>
      <c r="F15" s="2026">
        <v>6094.3643282399189</v>
      </c>
      <c r="G15" s="2027">
        <v>8970.1976701133171</v>
      </c>
      <c r="H15" s="2026">
        <v>-2504.8704568670537</v>
      </c>
      <c r="I15" s="2027">
        <v>12559.691541486183</v>
      </c>
      <c r="J15" s="2027">
        <v>12521.33834765356</v>
      </c>
    </row>
    <row r="16" spans="1:11" s="321" customFormat="1" ht="14.25" customHeight="1">
      <c r="A16" s="770">
        <v>2018</v>
      </c>
      <c r="B16" s="923"/>
      <c r="C16" s="1196">
        <v>702.3</v>
      </c>
      <c r="D16" s="1196">
        <v>-1106.9416969982703</v>
      </c>
      <c r="E16" s="1197">
        <v>-404.64169699827039</v>
      </c>
      <c r="F16" s="1196">
        <v>6057.6131674958597</v>
      </c>
      <c r="G16" s="1197">
        <v>9860.5224357719762</v>
      </c>
      <c r="H16" s="1196">
        <v>-2891.4280632143264</v>
      </c>
      <c r="I16" s="1197">
        <v>13026.70754005351</v>
      </c>
      <c r="J16" s="1197">
        <v>12622.075757186307</v>
      </c>
      <c r="K16" s="929"/>
    </row>
    <row r="17" spans="1:13" s="321" customFormat="1" ht="14.25" customHeight="1">
      <c r="A17" s="770">
        <v>2019</v>
      </c>
      <c r="B17" s="923"/>
      <c r="C17" s="1196">
        <v>1278.5999999999999</v>
      </c>
      <c r="D17" s="1196">
        <v>-978.95207411742194</v>
      </c>
      <c r="E17" s="1197">
        <v>299.64792588257797</v>
      </c>
      <c r="F17" s="1196">
        <v>6622.4570046662348</v>
      </c>
      <c r="G17" s="1197">
        <v>9966.7851993423283</v>
      </c>
      <c r="H17" s="1196">
        <v>-3217.0007851050414</v>
      </c>
      <c r="I17" s="1197">
        <v>13372.261418903521</v>
      </c>
      <c r="J17" s="1197">
        <v>13671.88438483977</v>
      </c>
      <c r="K17" s="929"/>
    </row>
    <row r="18" spans="1:13" s="321" customFormat="1" ht="14.25" customHeight="1">
      <c r="A18" s="770">
        <v>2020</v>
      </c>
      <c r="B18" s="923"/>
      <c r="C18" s="1196">
        <v>734.5</v>
      </c>
      <c r="D18" s="1196">
        <v>-1329.1114923424102</v>
      </c>
      <c r="E18" s="1197">
        <v>-594.6114923424102</v>
      </c>
      <c r="F18" s="1196">
        <v>7789.5132998701774</v>
      </c>
      <c r="G18" s="1197">
        <v>10644.319226108561</v>
      </c>
      <c r="H18" s="1196">
        <v>-3687.9415435554715</v>
      </c>
      <c r="I18" s="1197">
        <v>14745.890982423267</v>
      </c>
      <c r="J18" s="1197">
        <v>14151.256808289852</v>
      </c>
      <c r="K18" s="929"/>
    </row>
    <row r="19" spans="1:13" s="321" customFormat="1" ht="14.25" customHeight="1">
      <c r="A19" s="770">
        <v>2021</v>
      </c>
      <c r="B19" s="923"/>
      <c r="C19" s="1196">
        <v>1471.1</v>
      </c>
      <c r="D19" s="1196">
        <v>-1493.9619543455665</v>
      </c>
      <c r="E19" s="1197">
        <v>-22.861954345566573</v>
      </c>
      <c r="F19" s="1196">
        <v>8077.2270960630085</v>
      </c>
      <c r="G19" s="1197">
        <v>11111.127374236223</v>
      </c>
      <c r="H19" s="1196">
        <v>-4281.2316329858113</v>
      </c>
      <c r="I19" s="1197">
        <v>14907.122837313418</v>
      </c>
      <c r="J19" s="1197">
        <v>14884.212361565633</v>
      </c>
      <c r="K19" s="929"/>
    </row>
    <row r="20" spans="1:13" s="321" customFormat="1" ht="14.25" customHeight="1">
      <c r="A20" s="770">
        <v>2022</v>
      </c>
      <c r="B20" s="923"/>
      <c r="C20" s="1196">
        <v>1404.1</v>
      </c>
      <c r="D20" s="1196">
        <v>-2599.5235519705866</v>
      </c>
      <c r="E20" s="1197">
        <v>-1195.4235519705867</v>
      </c>
      <c r="F20" s="1196">
        <v>9192.7125319697006</v>
      </c>
      <c r="G20" s="1197">
        <v>11505.400231115644</v>
      </c>
      <c r="H20" s="1196">
        <v>-4367.3212276701852</v>
      </c>
      <c r="I20" s="1197">
        <v>16330.791535415159</v>
      </c>
      <c r="J20" s="1197">
        <v>15135.428446639962</v>
      </c>
      <c r="K20" s="929"/>
    </row>
    <row r="21" spans="1:13" s="321" customFormat="1" ht="14.25" customHeight="1">
      <c r="A21" s="770">
        <v>2023</v>
      </c>
      <c r="B21" s="923"/>
      <c r="C21" s="1196">
        <f t="shared" ref="C21:J21" si="0">C26</f>
        <v>1515.2</v>
      </c>
      <c r="D21" s="1196">
        <f t="shared" si="0"/>
        <v>-3101.3999999999996</v>
      </c>
      <c r="E21" s="1197">
        <f t="shared" si="0"/>
        <v>-1586.1999999999996</v>
      </c>
      <c r="F21" s="1196">
        <f t="shared" si="0"/>
        <v>9941.3863329282958</v>
      </c>
      <c r="G21" s="1197">
        <f t="shared" si="0"/>
        <v>11804.930969689533</v>
      </c>
      <c r="H21" s="1196">
        <f t="shared" si="0"/>
        <v>-4193.7702889526372</v>
      </c>
      <c r="I21" s="1197">
        <f t="shared" si="0"/>
        <v>17552.547013665189</v>
      </c>
      <c r="J21" s="1197">
        <f t="shared" si="0"/>
        <v>15966.291360589066</v>
      </c>
      <c r="K21" s="929"/>
    </row>
    <row r="22" spans="1:13" s="321" customFormat="1" ht="14.25" customHeight="1">
      <c r="A22" s="930">
        <v>2024</v>
      </c>
      <c r="B22" s="931"/>
      <c r="C22" s="1111">
        <f t="shared" ref="C22:J22" si="1">C30</f>
        <v>1427.5</v>
      </c>
      <c r="D22" s="1111">
        <f t="shared" si="1"/>
        <v>-4223.7000000000007</v>
      </c>
      <c r="E22" s="1347">
        <f t="shared" si="1"/>
        <v>-2796.2000000000007</v>
      </c>
      <c r="F22" s="1111">
        <f t="shared" si="1"/>
        <v>11229.10431745114</v>
      </c>
      <c r="G22" s="1112">
        <f t="shared" si="1"/>
        <v>11897.037488911043</v>
      </c>
      <c r="H22" s="1111">
        <f t="shared" si="1"/>
        <v>-4109.4707128637983</v>
      </c>
      <c r="I22" s="1112">
        <f t="shared" si="1"/>
        <v>19016.641093498387</v>
      </c>
      <c r="J22" s="1112">
        <f t="shared" si="1"/>
        <v>16220.381899778669</v>
      </c>
      <c r="K22" s="929"/>
    </row>
    <row r="23" spans="1:13" s="321" customFormat="1" ht="21" customHeight="1">
      <c r="A23" s="770">
        <v>2023</v>
      </c>
      <c r="B23" s="923" t="s">
        <v>243</v>
      </c>
      <c r="C23" s="1196">
        <v>1339.3</v>
      </c>
      <c r="D23" s="1196">
        <v>-3026.2000000000007</v>
      </c>
      <c r="E23" s="1197">
        <v>-1686.9000000000008</v>
      </c>
      <c r="F23" s="1196">
        <v>9601.8260367255007</v>
      </c>
      <c r="G23" s="1197">
        <v>11940.224717770679</v>
      </c>
      <c r="H23" s="1196">
        <v>-4107.2444485149063</v>
      </c>
      <c r="I23" s="1197">
        <v>17434.806305981274</v>
      </c>
      <c r="J23" s="1197">
        <v>15747.889174766433</v>
      </c>
      <c r="K23" s="929"/>
    </row>
    <row r="24" spans="1:13" s="321" customFormat="1">
      <c r="A24" s="770"/>
      <c r="B24" s="923" t="s">
        <v>244</v>
      </c>
      <c r="C24" s="1196">
        <v>1952</v>
      </c>
      <c r="D24" s="1196">
        <v>-2866.1999999999989</v>
      </c>
      <c r="E24" s="1197">
        <v>-914.19999999999891</v>
      </c>
      <c r="F24" s="1196">
        <v>9209.5478980345724</v>
      </c>
      <c r="G24" s="1197">
        <v>11950.216744974832</v>
      </c>
      <c r="H24" s="1196">
        <v>-4527.8448905120995</v>
      </c>
      <c r="I24" s="1197">
        <v>16631.919752497302</v>
      </c>
      <c r="J24" s="1197">
        <v>15717.702874618912</v>
      </c>
      <c r="K24" s="929"/>
    </row>
    <row r="25" spans="1:13" s="321" customFormat="1">
      <c r="A25" s="770"/>
      <c r="B25" s="771" t="s">
        <v>245</v>
      </c>
      <c r="C25" s="2028">
        <v>1489.9</v>
      </c>
      <c r="D25" s="1196">
        <v>-3193.3000000000011</v>
      </c>
      <c r="E25" s="2029">
        <v>-1703.400000000001</v>
      </c>
      <c r="F25" s="1196">
        <v>9757.9866552056919</v>
      </c>
      <c r="G25" s="1197">
        <v>11892.156967327952</v>
      </c>
      <c r="H25" s="1196">
        <v>-4278.8058565901947</v>
      </c>
      <c r="I25" s="1197">
        <v>17371.357765943449</v>
      </c>
      <c r="J25" s="1197">
        <v>15668.005460135199</v>
      </c>
      <c r="K25" s="929"/>
    </row>
    <row r="26" spans="1:13" s="321" customFormat="1">
      <c r="A26" s="770"/>
      <c r="B26" s="923" t="s">
        <v>242</v>
      </c>
      <c r="C26" s="1196">
        <v>1515.2</v>
      </c>
      <c r="D26" s="1196">
        <v>-3101.3999999999996</v>
      </c>
      <c r="E26" s="1197">
        <v>-1586.1999999999996</v>
      </c>
      <c r="F26" s="1196">
        <v>9941.3863329282958</v>
      </c>
      <c r="G26" s="1197">
        <v>11804.930969689533</v>
      </c>
      <c r="H26" s="1196">
        <v>-4193.7702889526372</v>
      </c>
      <c r="I26" s="1197">
        <v>17552.547013665189</v>
      </c>
      <c r="J26" s="1197">
        <v>15966.291360589066</v>
      </c>
      <c r="K26" s="929"/>
    </row>
    <row r="27" spans="1:13" s="321" customFormat="1" ht="21" customHeight="1">
      <c r="A27" s="770">
        <v>2024</v>
      </c>
      <c r="B27" s="923" t="s">
        <v>243</v>
      </c>
      <c r="C27" s="1196">
        <f t="shared" ref="C27:J27" si="2">C34</f>
        <v>1518.4</v>
      </c>
      <c r="D27" s="1196">
        <f t="shared" si="2"/>
        <v>-3695.8000000000011</v>
      </c>
      <c r="E27" s="1197">
        <f t="shared" si="2"/>
        <v>-2177.400000000001</v>
      </c>
      <c r="F27" s="1196">
        <f t="shared" si="2"/>
        <v>10525.029872947791</v>
      </c>
      <c r="G27" s="1197">
        <f t="shared" si="2"/>
        <v>12103.286298997315</v>
      </c>
      <c r="H27" s="1196">
        <f t="shared" si="2"/>
        <v>-4551.2477713656872</v>
      </c>
      <c r="I27" s="1197">
        <f t="shared" si="2"/>
        <v>18077.068400579417</v>
      </c>
      <c r="J27" s="1197">
        <f t="shared" si="2"/>
        <v>15899.657414014246</v>
      </c>
      <c r="K27" s="929"/>
    </row>
    <row r="28" spans="1:13" s="321" customFormat="1" ht="15" customHeight="1">
      <c r="A28" s="770"/>
      <c r="B28" s="923" t="s">
        <v>244</v>
      </c>
      <c r="C28" s="1196">
        <f t="shared" ref="C28:J28" si="3">C37</f>
        <v>1507.5</v>
      </c>
      <c r="D28" s="1196">
        <f t="shared" si="3"/>
        <v>-4206.7000000000007</v>
      </c>
      <c r="E28" s="1197">
        <f t="shared" si="3"/>
        <v>-2699.2000000000007</v>
      </c>
      <c r="F28" s="1196">
        <f t="shared" si="3"/>
        <v>10936.891114119579</v>
      </c>
      <c r="G28" s="1197">
        <f t="shared" si="3"/>
        <v>12242.259972509069</v>
      </c>
      <c r="H28" s="1196">
        <f t="shared" si="3"/>
        <v>-4463.8587576036743</v>
      </c>
      <c r="I28" s="1197">
        <f t="shared" si="3"/>
        <v>18715.292329024975</v>
      </c>
      <c r="J28" s="1197">
        <f t="shared" si="3"/>
        <v>16016.12461470573</v>
      </c>
      <c r="K28" s="929"/>
    </row>
    <row r="29" spans="1:13" s="321" customFormat="1" ht="15" customHeight="1">
      <c r="A29" s="770"/>
      <c r="B29" s="923" t="s">
        <v>245</v>
      </c>
      <c r="C29" s="1196">
        <f t="shared" ref="C29:J29" si="4">C40</f>
        <v>1912.2</v>
      </c>
      <c r="D29" s="1196">
        <f t="shared" si="4"/>
        <v>-4089.3000000000011</v>
      </c>
      <c r="E29" s="1197">
        <f t="shared" si="4"/>
        <v>-2177.1000000000013</v>
      </c>
      <c r="F29" s="1196">
        <f t="shared" si="4"/>
        <v>11256.704237503141</v>
      </c>
      <c r="G29" s="1197">
        <f t="shared" si="4"/>
        <v>12132.166024345523</v>
      </c>
      <c r="H29" s="1196">
        <f t="shared" si="4"/>
        <v>-4585.6314018330268</v>
      </c>
      <c r="I29" s="1197">
        <f t="shared" si="4"/>
        <v>18803.258860015638</v>
      </c>
      <c r="J29" s="1197">
        <f t="shared" si="4"/>
        <v>16626.187498621013</v>
      </c>
      <c r="K29" s="929"/>
    </row>
    <row r="30" spans="1:13" s="321" customFormat="1" ht="15" customHeight="1">
      <c r="A30" s="930"/>
      <c r="B30" s="931" t="s">
        <v>242</v>
      </c>
      <c r="C30" s="1111">
        <f t="shared" ref="C30:J30" si="5">C43</f>
        <v>1427.5</v>
      </c>
      <c r="D30" s="1111">
        <f t="shared" si="5"/>
        <v>-4223.7000000000007</v>
      </c>
      <c r="E30" s="1112">
        <f t="shared" si="5"/>
        <v>-2796.2000000000007</v>
      </c>
      <c r="F30" s="1111">
        <f t="shared" si="5"/>
        <v>11229.10431745114</v>
      </c>
      <c r="G30" s="1112">
        <f t="shared" si="5"/>
        <v>11897.037488911043</v>
      </c>
      <c r="H30" s="1111">
        <f t="shared" si="5"/>
        <v>-4109.4707128637983</v>
      </c>
      <c r="I30" s="1112">
        <f t="shared" si="5"/>
        <v>19016.641093498387</v>
      </c>
      <c r="J30" s="1112">
        <f t="shared" si="5"/>
        <v>16220.381899778669</v>
      </c>
      <c r="K30" s="929"/>
    </row>
    <row r="31" spans="1:13" s="306" customFormat="1" ht="21" customHeight="1">
      <c r="A31" s="405">
        <v>2023</v>
      </c>
      <c r="B31" s="406" t="s">
        <v>426</v>
      </c>
      <c r="C31" s="673">
        <v>1515.2</v>
      </c>
      <c r="D31" s="673">
        <v>-3101.3999999999996</v>
      </c>
      <c r="E31" s="676">
        <v>-1586.1999999999996</v>
      </c>
      <c r="F31" s="673">
        <v>9941.3863329282958</v>
      </c>
      <c r="G31" s="676">
        <v>11804.930969689533</v>
      </c>
      <c r="H31" s="673">
        <v>-4193.7702889526372</v>
      </c>
      <c r="I31" s="676">
        <v>17552.547013665189</v>
      </c>
      <c r="J31" s="676">
        <v>15966.291360589066</v>
      </c>
      <c r="K31" s="995"/>
      <c r="L31" s="995"/>
      <c r="M31" s="995"/>
    </row>
    <row r="32" spans="1:13" s="306" customFormat="1" ht="21" customHeight="1">
      <c r="A32" s="405">
        <v>2024</v>
      </c>
      <c r="B32" s="406" t="s">
        <v>427</v>
      </c>
      <c r="C32" s="673">
        <f>'1'!C32+'1'!D32-'1'!I32</f>
        <v>1554.1</v>
      </c>
      <c r="D32" s="673">
        <f>'16'!J32</f>
        <v>-3411.5</v>
      </c>
      <c r="E32" s="676">
        <f t="shared" ref="E32" si="6">SUM(C32:D32)</f>
        <v>-1857.4</v>
      </c>
      <c r="F32" s="673">
        <f>'1'!F32+'14'!G32+'14'!H32</f>
        <v>10149.165914636058</v>
      </c>
      <c r="G32" s="676">
        <f>'14'!F32</f>
        <v>11867.287324336074</v>
      </c>
      <c r="H32" s="673">
        <v>-4368.1663859428845</v>
      </c>
      <c r="I32" s="676">
        <f t="shared" ref="I32:I34" si="7">SUM(F32:H32)</f>
        <v>17648.286853029247</v>
      </c>
      <c r="J32" s="676">
        <f>'3'!J32</f>
        <v>15790.880686480017</v>
      </c>
      <c r="K32" s="995"/>
      <c r="L32" s="995"/>
      <c r="M32" s="995"/>
    </row>
    <row r="33" spans="1:13" s="306" customFormat="1">
      <c r="A33" s="405"/>
      <c r="B33" s="406" t="s">
        <v>416</v>
      </c>
      <c r="C33" s="673">
        <f>'1'!C33+'1'!D33-'1'!I33</f>
        <v>1535.6</v>
      </c>
      <c r="D33" s="673">
        <f>'16'!J33</f>
        <v>-3328.2000000000007</v>
      </c>
      <c r="E33" s="676">
        <f t="shared" ref="E33" si="8">SUM(C33:D33)</f>
        <v>-1792.6000000000008</v>
      </c>
      <c r="F33" s="673">
        <f>'1'!F33+'14'!G33+'14'!H33</f>
        <v>9988.824323760462</v>
      </c>
      <c r="G33" s="676">
        <f>'14'!F33</f>
        <v>11937.753675876385</v>
      </c>
      <c r="H33" s="673">
        <v>-4443.0841867633399</v>
      </c>
      <c r="I33" s="676">
        <f t="shared" si="7"/>
        <v>17483.493812873508</v>
      </c>
      <c r="J33" s="676">
        <f>'3'!J33</f>
        <v>15690.902942848194</v>
      </c>
      <c r="K33" s="995"/>
      <c r="L33" s="995"/>
      <c r="M33" s="995"/>
    </row>
    <row r="34" spans="1:13" s="306" customFormat="1">
      <c r="A34" s="405"/>
      <c r="B34" s="406" t="s">
        <v>417</v>
      </c>
      <c r="C34" s="673">
        <f>'1'!C34+'1'!D34-'1'!I34</f>
        <v>1518.4</v>
      </c>
      <c r="D34" s="673">
        <f>'16'!J34</f>
        <v>-3695.8000000000011</v>
      </c>
      <c r="E34" s="676">
        <f t="shared" ref="E34" si="9">SUM(C34:D34)</f>
        <v>-2177.400000000001</v>
      </c>
      <c r="F34" s="673">
        <f>'1'!F34+'14'!G34+'14'!H34</f>
        <v>10525.029872947791</v>
      </c>
      <c r="G34" s="676">
        <f>'14'!F34</f>
        <v>12103.286298997315</v>
      </c>
      <c r="H34" s="673">
        <v>-4551.2477713656872</v>
      </c>
      <c r="I34" s="676">
        <f t="shared" si="7"/>
        <v>18077.068400579417</v>
      </c>
      <c r="J34" s="676">
        <f>'3'!J34</f>
        <v>15899.657414014246</v>
      </c>
      <c r="K34" s="995"/>
      <c r="L34" s="995"/>
      <c r="M34" s="995"/>
    </row>
    <row r="35" spans="1:13" s="306" customFormat="1">
      <c r="A35" s="405"/>
      <c r="B35" s="406" t="s">
        <v>418</v>
      </c>
      <c r="C35" s="673">
        <f>'1'!C35+'1'!D35-'1'!I35</f>
        <v>1371.7</v>
      </c>
      <c r="D35" s="673">
        <f>'16'!J35</f>
        <v>-3886</v>
      </c>
      <c r="E35" s="676">
        <f t="shared" ref="E35" si="10">SUM(C35:D35)</f>
        <v>-2514.3000000000002</v>
      </c>
      <c r="F35" s="673">
        <f>'1'!F35+'14'!G35+'14'!H35</f>
        <v>10811.619407480077</v>
      </c>
      <c r="G35" s="676">
        <f>'14'!F35</f>
        <v>12134.091767795877</v>
      </c>
      <c r="H35" s="673">
        <v>-4483.2786612858999</v>
      </c>
      <c r="I35" s="676">
        <f t="shared" ref="I35" si="11">SUM(F35:H35)</f>
        <v>18462.432513990054</v>
      </c>
      <c r="J35" s="676">
        <f>'3'!J35</f>
        <v>15948.127366419669</v>
      </c>
      <c r="K35" s="995"/>
      <c r="L35" s="995"/>
      <c r="M35" s="995"/>
    </row>
    <row r="36" spans="1:13" s="306" customFormat="1">
      <c r="A36" s="405"/>
      <c r="B36" s="406" t="s">
        <v>419</v>
      </c>
      <c r="C36" s="673">
        <f>'1'!C36+'1'!D36-'1'!I36</f>
        <v>1340.7</v>
      </c>
      <c r="D36" s="673">
        <f>'16'!J36</f>
        <v>-3945.2000000000007</v>
      </c>
      <c r="E36" s="676">
        <f t="shared" ref="E36" si="12">SUM(C36:D36)</f>
        <v>-2604.5000000000009</v>
      </c>
      <c r="F36" s="673">
        <f>'1'!F36+'14'!G36+'14'!H36+0.02</f>
        <v>10672.855603916018</v>
      </c>
      <c r="G36" s="676">
        <f>'14'!F36</f>
        <v>12205.626062247449</v>
      </c>
      <c r="H36" s="673">
        <v>-4481.7717327908222</v>
      </c>
      <c r="I36" s="676">
        <f t="shared" ref="I36" si="13">SUM(F36:H36)</f>
        <v>18396.709933372647</v>
      </c>
      <c r="J36" s="676">
        <f>'3'!J36</f>
        <v>15792.167538865997</v>
      </c>
      <c r="K36" s="995"/>
      <c r="L36" s="995"/>
      <c r="M36" s="995"/>
    </row>
    <row r="37" spans="1:13" s="306" customFormat="1">
      <c r="A37" s="405"/>
      <c r="B37" s="406" t="s">
        <v>420</v>
      </c>
      <c r="C37" s="673">
        <f>'1'!C37+'1'!D37-'1'!I37</f>
        <v>1507.5</v>
      </c>
      <c r="D37" s="673">
        <f>'16'!J37</f>
        <v>-4206.7000000000007</v>
      </c>
      <c r="E37" s="676">
        <f t="shared" ref="E37" si="14">SUM(C37:D37)</f>
        <v>-2699.2000000000007</v>
      </c>
      <c r="F37" s="673">
        <f>'1'!F37+'14'!G37+'14'!H37</f>
        <v>10936.891114119579</v>
      </c>
      <c r="G37" s="676">
        <f>'14'!F37</f>
        <v>12242.259972509069</v>
      </c>
      <c r="H37" s="673">
        <v>-4463.8587576036743</v>
      </c>
      <c r="I37" s="676">
        <f t="shared" ref="I37" si="15">SUM(F37:H37)</f>
        <v>18715.292329024975</v>
      </c>
      <c r="J37" s="676">
        <f>'3'!J37</f>
        <v>16016.12461470573</v>
      </c>
      <c r="K37" s="995"/>
      <c r="L37" s="995"/>
      <c r="M37" s="995"/>
    </row>
    <row r="38" spans="1:13" s="306" customFormat="1">
      <c r="A38" s="405"/>
      <c r="B38" s="406" t="s">
        <v>421</v>
      </c>
      <c r="C38" s="673">
        <f>'1'!C38+'1'!D38-'1'!I38</f>
        <v>1480.8</v>
      </c>
      <c r="D38" s="673">
        <f>'16'!J38</f>
        <v>-4015.6999999999989</v>
      </c>
      <c r="E38" s="676">
        <f t="shared" ref="E38" si="16">SUM(C38:D38)</f>
        <v>-2534.8999999999987</v>
      </c>
      <c r="F38" s="673">
        <f>'1'!F38+'14'!G38+'14'!H38</f>
        <v>11275.388391373792</v>
      </c>
      <c r="G38" s="676">
        <f>'14'!F38</f>
        <v>12128.678062712677</v>
      </c>
      <c r="H38" s="673">
        <v>-4797.0865300841469</v>
      </c>
      <c r="I38" s="676">
        <f t="shared" ref="I38" si="17">SUM(F38:H38)</f>
        <v>18606.97992400232</v>
      </c>
      <c r="J38" s="676">
        <f>'3'!J38</f>
        <v>16072.105938141038</v>
      </c>
      <c r="K38" s="995"/>
      <c r="L38" s="995"/>
      <c r="M38" s="995"/>
    </row>
    <row r="39" spans="1:13" s="306" customFormat="1">
      <c r="A39" s="405"/>
      <c r="B39" s="406" t="s">
        <v>422</v>
      </c>
      <c r="C39" s="673">
        <f>'1'!C39+'1'!D39-'1'!I39</f>
        <v>1624</v>
      </c>
      <c r="D39" s="673">
        <f>'16'!J39</f>
        <v>-3716.7000000000007</v>
      </c>
      <c r="E39" s="676">
        <f t="shared" ref="E39" si="18">SUM(C39:D39)</f>
        <v>-2092.7000000000007</v>
      </c>
      <c r="F39" s="673">
        <f>'1'!F39+'14'!G39+'14'!H39</f>
        <v>11370.720099454586</v>
      </c>
      <c r="G39" s="676">
        <f>'14'!F39</f>
        <v>12097.570964404809</v>
      </c>
      <c r="H39" s="673">
        <v>-4927.8107505696553</v>
      </c>
      <c r="I39" s="676">
        <f t="shared" ref="I39" si="19">SUM(F39:H39)</f>
        <v>18540.480313289743</v>
      </c>
      <c r="J39" s="676">
        <f>'3'!J39</f>
        <v>16447.842976756867</v>
      </c>
      <c r="K39" s="995"/>
      <c r="L39" s="995"/>
      <c r="M39" s="995"/>
    </row>
    <row r="40" spans="1:13" s="306" customFormat="1">
      <c r="A40" s="405"/>
      <c r="B40" s="406" t="s">
        <v>423</v>
      </c>
      <c r="C40" s="673">
        <f>'1'!C40+'1'!D40-'1'!I40</f>
        <v>1912.2</v>
      </c>
      <c r="D40" s="673">
        <f>'16'!J40</f>
        <v>-4089.3000000000011</v>
      </c>
      <c r="E40" s="676">
        <f t="shared" ref="E40" si="20">SUM(C40:D40)</f>
        <v>-2177.1000000000013</v>
      </c>
      <c r="F40" s="673">
        <f>'1'!F40+'14'!G40+'14'!H40</f>
        <v>11256.704237503141</v>
      </c>
      <c r="G40" s="676">
        <f>'14'!F40</f>
        <v>12132.166024345523</v>
      </c>
      <c r="H40" s="673">
        <v>-4585.6314018330268</v>
      </c>
      <c r="I40" s="676">
        <f>SUM(F40:H40)+0.02</f>
        <v>18803.258860015638</v>
      </c>
      <c r="J40" s="676">
        <f>'3'!J40</f>
        <v>16626.187498621013</v>
      </c>
      <c r="K40" s="995"/>
      <c r="L40" s="995"/>
      <c r="M40" s="995"/>
    </row>
    <row r="41" spans="1:13" s="306" customFormat="1">
      <c r="A41" s="405"/>
      <c r="B41" s="406" t="s">
        <v>424</v>
      </c>
      <c r="C41" s="673">
        <f>'1'!C41+'1'!D41-'1'!I41</f>
        <v>1594.7</v>
      </c>
      <c r="D41" s="673">
        <f>'16'!J41</f>
        <v>-4216.0000000000018</v>
      </c>
      <c r="E41" s="676">
        <f t="shared" ref="E41" si="21">SUM(C41:D41)</f>
        <v>-2621.300000000002</v>
      </c>
      <c r="F41" s="673">
        <f>'1'!F41+'14'!G41+'14'!H41</f>
        <v>11482.498955863612</v>
      </c>
      <c r="G41" s="676">
        <f>'14'!F41</f>
        <v>12049.279829445828</v>
      </c>
      <c r="H41" s="673">
        <v>-4451.2714341399487</v>
      </c>
      <c r="I41" s="676">
        <f>SUM(F41:H41)</f>
        <v>19080.507351169494</v>
      </c>
      <c r="J41" s="676">
        <f>'3'!J41</f>
        <v>16459.238029372955</v>
      </c>
      <c r="K41" s="995"/>
      <c r="L41" s="995"/>
      <c r="M41" s="995"/>
    </row>
    <row r="42" spans="1:13" s="306" customFormat="1">
      <c r="A42" s="405"/>
      <c r="B42" s="406" t="s">
        <v>425</v>
      </c>
      <c r="C42" s="673">
        <f>'1'!C42+'1'!D42-'1'!I42</f>
        <v>1244.2</v>
      </c>
      <c r="D42" s="673">
        <f>'16'!J42</f>
        <v>-4143.8999999999996</v>
      </c>
      <c r="E42" s="676">
        <f t="shared" ref="E42" si="22">SUM(C42:D42)</f>
        <v>-2899.7</v>
      </c>
      <c r="F42" s="673">
        <f>'1'!F42+'14'!G42+'14'!H42</f>
        <v>11744.285366833567</v>
      </c>
      <c r="G42" s="676">
        <f>'14'!F42</f>
        <v>11912.477589658898</v>
      </c>
      <c r="H42" s="673">
        <v>-4493.2669550906357</v>
      </c>
      <c r="I42" s="676">
        <f>SUM(F42:H42)</f>
        <v>19163.496001401829</v>
      </c>
      <c r="J42" s="676">
        <f>'3'!J42</f>
        <v>16263.784701865288</v>
      </c>
      <c r="K42" s="995"/>
      <c r="L42" s="995"/>
      <c r="M42" s="995"/>
    </row>
    <row r="43" spans="1:13" s="306" customFormat="1">
      <c r="A43" s="405"/>
      <c r="B43" s="406" t="s">
        <v>426</v>
      </c>
      <c r="C43" s="673">
        <f>'1'!C43+'1'!D43-'1'!I43</f>
        <v>1427.5</v>
      </c>
      <c r="D43" s="673">
        <f>'16'!J43</f>
        <v>-4223.7000000000007</v>
      </c>
      <c r="E43" s="676">
        <f t="shared" ref="E43" si="23">SUM(C43:D43)</f>
        <v>-2796.2000000000007</v>
      </c>
      <c r="F43" s="673">
        <f>'1'!F43+'14'!G43+'14'!H43</f>
        <v>11229.10431745114</v>
      </c>
      <c r="G43" s="676">
        <f>'14'!F43</f>
        <v>11897.037488911043</v>
      </c>
      <c r="H43" s="673">
        <v>-4109.4707128637983</v>
      </c>
      <c r="I43" s="676">
        <f>SUM(F43:H43)-0.03</f>
        <v>19016.641093498387</v>
      </c>
      <c r="J43" s="676">
        <f>'3'!J43</f>
        <v>16220.381899778669</v>
      </c>
      <c r="K43" s="995"/>
      <c r="L43" s="995"/>
      <c r="M43" s="995"/>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2030"/>
      <c r="I45" s="2030"/>
      <c r="J45" s="2030"/>
    </row>
    <row r="47" spans="1:13">
      <c r="A47" s="318" t="s">
        <v>514</v>
      </c>
      <c r="B47" s="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7" activePane="bottomLeft" state="frozen"/>
      <selection activeCell="B12" sqref="B12"/>
      <selection pane="bottomLeft" activeCell="H38" sqref="H38"/>
    </sheetView>
  </sheetViews>
  <sheetFormatPr defaultColWidth="7.85546875" defaultRowHeight="15"/>
  <cols>
    <col min="1" max="2" width="9.28515625" style="8" customWidth="1"/>
    <col min="3" max="11" width="16.85546875" style="8" customWidth="1"/>
    <col min="12" max="16384" width="7.85546875" style="8"/>
  </cols>
  <sheetData>
    <row r="1" spans="1:12" s="26" customFormat="1" ht="18">
      <c r="A1" s="2019" t="s">
        <v>1790</v>
      </c>
      <c r="B1" s="1746"/>
      <c r="C1" s="1746"/>
      <c r="D1" s="1746"/>
      <c r="E1" s="1746"/>
      <c r="F1" s="1746"/>
      <c r="G1" s="1746"/>
      <c r="H1" s="1746"/>
      <c r="I1" s="1746"/>
      <c r="J1" s="1746"/>
      <c r="K1" s="1746"/>
    </row>
    <row r="2" spans="1:12" s="26" customFormat="1" ht="18">
      <c r="A2" s="2020" t="s">
        <v>515</v>
      </c>
      <c r="B2" s="1746"/>
      <c r="C2" s="1746"/>
      <c r="D2" s="1746"/>
      <c r="E2" s="1746"/>
      <c r="F2" s="1746"/>
      <c r="G2" s="1746"/>
      <c r="H2" s="1746"/>
      <c r="I2" s="1746"/>
      <c r="J2" s="1746"/>
      <c r="K2" s="1746"/>
    </row>
    <row r="3" spans="1:12" s="26" customFormat="1" ht="18">
      <c r="A3" s="2019" t="s">
        <v>12</v>
      </c>
      <c r="B3" s="1746"/>
      <c r="C3" s="1746"/>
      <c r="D3" s="1746"/>
      <c r="E3" s="1746"/>
      <c r="F3" s="1746"/>
      <c r="G3" s="1746"/>
      <c r="H3" s="1746"/>
      <c r="I3" s="1746"/>
      <c r="J3" s="1746"/>
      <c r="K3" s="1746"/>
    </row>
    <row r="4" spans="1:12" s="26" customFormat="1" ht="18" customHeight="1">
      <c r="A4" s="18" t="s">
        <v>373</v>
      </c>
      <c r="B4" s="10"/>
      <c r="C4" s="33"/>
      <c r="E4" s="33"/>
      <c r="F4" s="33"/>
      <c r="G4" s="33"/>
      <c r="H4" s="33"/>
      <c r="I4" s="33"/>
      <c r="J4" s="33"/>
      <c r="K4" s="36" t="s">
        <v>374</v>
      </c>
    </row>
    <row r="5" spans="1:12" s="34" customFormat="1" ht="15.75">
      <c r="A5" s="30"/>
      <c r="B5" s="113"/>
      <c r="C5" s="22"/>
      <c r="D5" s="113"/>
      <c r="E5" s="22" t="s">
        <v>13</v>
      </c>
      <c r="F5" s="114"/>
      <c r="G5" s="114"/>
      <c r="H5" s="114"/>
      <c r="I5" s="114"/>
      <c r="J5" s="114"/>
      <c r="K5" s="115"/>
    </row>
    <row r="6" spans="1:12" s="34" customFormat="1" ht="15.75">
      <c r="A6" s="31"/>
      <c r="B6" s="74"/>
      <c r="C6" s="22" t="s">
        <v>9</v>
      </c>
      <c r="D6" s="74"/>
      <c r="E6" s="66" t="s">
        <v>516</v>
      </c>
      <c r="F6" s="66"/>
      <c r="G6" s="66"/>
      <c r="H6" s="66"/>
      <c r="I6" s="66"/>
      <c r="J6" s="66"/>
      <c r="K6" s="98"/>
    </row>
    <row r="7" spans="1:12" s="34" customFormat="1" ht="15.75">
      <c r="A7" s="31"/>
      <c r="B7" s="74"/>
      <c r="C7" s="60" t="s">
        <v>259</v>
      </c>
      <c r="D7" s="74"/>
      <c r="E7" s="22" t="s">
        <v>517</v>
      </c>
      <c r="F7" s="60"/>
      <c r="G7" s="74"/>
      <c r="H7" s="22" t="s">
        <v>518</v>
      </c>
      <c r="I7" s="60"/>
      <c r="J7" s="60"/>
      <c r="K7" s="74"/>
    </row>
    <row r="8" spans="1:12" s="34" customFormat="1" ht="15.75">
      <c r="A8" s="24" t="s">
        <v>383</v>
      </c>
      <c r="B8" s="74"/>
      <c r="C8" s="116"/>
      <c r="D8" s="117"/>
      <c r="E8" s="66" t="s">
        <v>519</v>
      </c>
      <c r="F8" s="66"/>
      <c r="G8" s="98"/>
      <c r="H8" s="66" t="s">
        <v>520</v>
      </c>
      <c r="I8" s="66"/>
      <c r="J8" s="66"/>
      <c r="K8" s="98"/>
    </row>
    <row r="9" spans="1:12" s="34" customFormat="1" ht="15.75">
      <c r="A9" s="118" t="s">
        <v>391</v>
      </c>
      <c r="B9" s="74"/>
      <c r="C9" s="71"/>
      <c r="D9" s="71"/>
      <c r="E9" s="78" t="s">
        <v>498</v>
      </c>
      <c r="F9" s="95" t="s">
        <v>499</v>
      </c>
      <c r="G9" s="63"/>
      <c r="H9" s="105"/>
      <c r="I9" s="106"/>
      <c r="J9" s="63"/>
      <c r="K9" s="64"/>
    </row>
    <row r="10" spans="1:12" s="34" customFormat="1" ht="15.75">
      <c r="A10" s="31"/>
      <c r="B10" s="74"/>
      <c r="C10" s="79" t="s">
        <v>386</v>
      </c>
      <c r="D10" s="79" t="s">
        <v>521</v>
      </c>
      <c r="E10" s="78" t="s">
        <v>502</v>
      </c>
      <c r="F10" s="106" t="s">
        <v>503</v>
      </c>
      <c r="G10" s="95" t="s">
        <v>386</v>
      </c>
      <c r="H10" s="106" t="s">
        <v>395</v>
      </c>
      <c r="I10" s="106" t="s">
        <v>504</v>
      </c>
      <c r="J10" s="95" t="s">
        <v>522</v>
      </c>
      <c r="K10" s="79" t="s">
        <v>386</v>
      </c>
    </row>
    <row r="11" spans="1:12" s="34" customFormat="1" ht="15.75">
      <c r="A11" s="31"/>
      <c r="B11" s="74"/>
      <c r="C11" s="64" t="s">
        <v>397</v>
      </c>
      <c r="D11" s="64" t="s">
        <v>523</v>
      </c>
      <c r="E11" s="96" t="s">
        <v>506</v>
      </c>
      <c r="F11" s="84" t="s">
        <v>507</v>
      </c>
      <c r="G11" s="63" t="s">
        <v>397</v>
      </c>
      <c r="H11" s="64" t="s">
        <v>471</v>
      </c>
      <c r="I11" s="96" t="s">
        <v>511</v>
      </c>
      <c r="J11" s="63" t="s">
        <v>524</v>
      </c>
      <c r="K11" s="64" t="s">
        <v>397</v>
      </c>
    </row>
    <row r="12" spans="1:12" s="34" customFormat="1" ht="15.75">
      <c r="A12" s="32"/>
      <c r="B12" s="98"/>
      <c r="C12" s="117"/>
      <c r="D12" s="117"/>
      <c r="E12" s="93" t="s">
        <v>509</v>
      </c>
      <c r="F12" s="110" t="s">
        <v>410</v>
      </c>
      <c r="G12" s="49"/>
      <c r="H12" s="119" t="s">
        <v>510</v>
      </c>
      <c r="I12" s="49"/>
      <c r="J12" s="49"/>
      <c r="K12" s="93"/>
    </row>
    <row r="13" spans="1:12"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row>
    <row r="14" spans="1:12"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row>
    <row r="15" spans="1:12"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row>
    <row r="16" spans="1:12" s="321" customFormat="1" ht="14.25" customHeight="1">
      <c r="A16" s="770">
        <v>2018</v>
      </c>
      <c r="B16" s="771"/>
      <c r="C16" s="1195">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29"/>
    </row>
    <row r="17" spans="1:13" s="321" customFormat="1" ht="14.25" customHeight="1">
      <c r="A17" s="770">
        <v>2019</v>
      </c>
      <c r="B17" s="771"/>
      <c r="C17" s="1195">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29"/>
    </row>
    <row r="18" spans="1:13" s="321" customFormat="1" ht="14.25" customHeight="1">
      <c r="A18" s="770">
        <v>2020</v>
      </c>
      <c r="B18" s="771"/>
      <c r="C18" s="1195">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29"/>
    </row>
    <row r="19" spans="1:13" s="321" customFormat="1" ht="14.25" customHeight="1">
      <c r="A19" s="770">
        <v>2021</v>
      </c>
      <c r="B19" s="771"/>
      <c r="C19" s="1195">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29"/>
    </row>
    <row r="20" spans="1:13" s="321" customFormat="1" ht="14.25" customHeight="1">
      <c r="A20" s="770">
        <v>2022</v>
      </c>
      <c r="B20" s="771"/>
      <c r="C20" s="1195">
        <v>15135.428446639962</v>
      </c>
      <c r="D20" s="565">
        <v>251.19999999999891</v>
      </c>
      <c r="E20" s="1128">
        <v>-67</v>
      </c>
      <c r="F20" s="565">
        <v>-1105.5</v>
      </c>
      <c r="G20" s="565">
        <v>-1172.5</v>
      </c>
      <c r="H20" s="565">
        <v>1115.5000000000009</v>
      </c>
      <c r="I20" s="565">
        <v>394.29999999999927</v>
      </c>
      <c r="J20" s="565">
        <v>-86.100000000000364</v>
      </c>
      <c r="K20" s="565">
        <v>1423.6999999999989</v>
      </c>
      <c r="L20" s="995"/>
      <c r="M20" s="995"/>
    </row>
    <row r="21" spans="1:13" s="321" customFormat="1" ht="14.25" customHeight="1">
      <c r="A21" s="770">
        <v>2023</v>
      </c>
      <c r="B21" s="771"/>
      <c r="C21" s="1195">
        <f>C26</f>
        <v>15966.291360589066</v>
      </c>
      <c r="D21" s="565">
        <f t="shared" ref="D21" si="0">ROUND(C21,1)-ROUND(C20,1)</f>
        <v>830.89999999999964</v>
      </c>
      <c r="E21" s="565">
        <f>ROUND('4'!C21,1)-ROUND('4'!C20,1)</f>
        <v>111.10000000000014</v>
      </c>
      <c r="F21" s="565">
        <f>ROUND('4'!D21,1)-ROUND('4'!D20,1)</f>
        <v>-501.90000000000009</v>
      </c>
      <c r="G21" s="565">
        <f>ROUND('4'!E21,1)-ROUND('4'!E20,1)</f>
        <v>-390.79999999999995</v>
      </c>
      <c r="H21" s="565">
        <f>ROUND('4'!F21,1)-ROUND('4'!F20,1)</f>
        <v>748.69999999999891</v>
      </c>
      <c r="I21" s="565">
        <f>ROUND('4'!G21,1)-ROUND('4'!G20,1)</f>
        <v>299.5</v>
      </c>
      <c r="J21" s="565">
        <f>ROUND('4'!H21,1)-ROUND('4'!H20,1)</f>
        <v>173.5</v>
      </c>
      <c r="K21" s="565">
        <f>ROUND('4'!I21,1)-ROUND('4'!I20,1)</f>
        <v>1221.7000000000007</v>
      </c>
      <c r="L21" s="995"/>
      <c r="M21" s="995"/>
    </row>
    <row r="22" spans="1:13" s="321" customFormat="1" ht="14.25" customHeight="1">
      <c r="A22" s="930">
        <v>2024</v>
      </c>
      <c r="B22" s="1025"/>
      <c r="C22" s="1110">
        <f>C30</f>
        <v>16220.381899778669</v>
      </c>
      <c r="D22" s="794">
        <f t="shared" ref="D22" si="1">ROUND(C22,1)-ROUND(C21,1)</f>
        <v>254.10000000000036</v>
      </c>
      <c r="E22" s="1346">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5"/>
      <c r="M22" s="995"/>
    </row>
    <row r="23" spans="1:13" s="321" customFormat="1" ht="21" customHeight="1">
      <c r="A23" s="770">
        <v>2023</v>
      </c>
      <c r="B23" s="771" t="s">
        <v>243</v>
      </c>
      <c r="C23" s="1195">
        <v>15747.889174766433</v>
      </c>
      <c r="D23" s="572">
        <v>612.5</v>
      </c>
      <c r="E23" s="805">
        <v>-64.799999999999955</v>
      </c>
      <c r="F23" s="805">
        <v>-426.69999999999982</v>
      </c>
      <c r="G23" s="572">
        <v>-491.5</v>
      </c>
      <c r="H23" s="805">
        <v>409.09999999999854</v>
      </c>
      <c r="I23" s="805">
        <v>434.80000000000109</v>
      </c>
      <c r="J23" s="805">
        <v>260.10000000000036</v>
      </c>
      <c r="K23" s="572">
        <v>1104</v>
      </c>
      <c r="L23" s="995"/>
      <c r="M23" s="995"/>
    </row>
    <row r="24" spans="1:13" s="321" customFormat="1">
      <c r="A24" s="770"/>
      <c r="B24" s="771" t="s">
        <v>244</v>
      </c>
      <c r="C24" s="1195">
        <v>15717.702874618912</v>
      </c>
      <c r="D24" s="572">
        <v>-30.199999999998909</v>
      </c>
      <c r="E24" s="805">
        <v>612.70000000000005</v>
      </c>
      <c r="F24" s="805">
        <v>160</v>
      </c>
      <c r="G24" s="572">
        <v>772.7</v>
      </c>
      <c r="H24" s="805">
        <v>-392.29999999999927</v>
      </c>
      <c r="I24" s="805">
        <v>10</v>
      </c>
      <c r="J24" s="805">
        <v>-420.60000000000036</v>
      </c>
      <c r="K24" s="572">
        <v>-802.89999999999782</v>
      </c>
      <c r="L24" s="995"/>
      <c r="M24" s="995"/>
    </row>
    <row r="25" spans="1:13" s="321" customFormat="1">
      <c r="A25" s="770"/>
      <c r="B25" s="771" t="s">
        <v>245</v>
      </c>
      <c r="C25" s="2021">
        <v>15668.005460135199</v>
      </c>
      <c r="D25" s="1128">
        <v>-49.700000000000728</v>
      </c>
      <c r="E25" s="565">
        <v>-462.09999999999991</v>
      </c>
      <c r="F25" s="565">
        <v>-327.10000000000036</v>
      </c>
      <c r="G25" s="565">
        <v>-789.2</v>
      </c>
      <c r="H25" s="565">
        <v>548.5</v>
      </c>
      <c r="I25" s="565">
        <v>-58</v>
      </c>
      <c r="J25" s="565">
        <v>249</v>
      </c>
      <c r="K25" s="565">
        <v>739.5</v>
      </c>
      <c r="L25" s="995"/>
      <c r="M25" s="995"/>
    </row>
    <row r="26" spans="1:13" s="321" customFormat="1">
      <c r="A26" s="770"/>
      <c r="B26" s="771" t="s">
        <v>242</v>
      </c>
      <c r="C26" s="1195">
        <v>15966.291360589066</v>
      </c>
      <c r="D26" s="565">
        <v>298.29999999999927</v>
      </c>
      <c r="E26" s="565">
        <v>25.299999999999955</v>
      </c>
      <c r="F26" s="565">
        <v>91.900000000000091</v>
      </c>
      <c r="G26" s="565">
        <v>117.20000000000005</v>
      </c>
      <c r="H26" s="565">
        <v>183.39999999999964</v>
      </c>
      <c r="I26" s="565">
        <v>-87.300000000001091</v>
      </c>
      <c r="J26" s="565">
        <v>85</v>
      </c>
      <c r="K26" s="565">
        <v>181.09999999999854</v>
      </c>
      <c r="L26" s="995"/>
      <c r="M26" s="995"/>
    </row>
    <row r="27" spans="1:13" s="321" customFormat="1" ht="21" customHeight="1">
      <c r="A27" s="770">
        <v>2024</v>
      </c>
      <c r="B27" s="771" t="s">
        <v>243</v>
      </c>
      <c r="C27" s="1195">
        <f>C34</f>
        <v>15899.657414014246</v>
      </c>
      <c r="D27" s="572">
        <f>ROUND(C27,1)-ROUND(C26,1)</f>
        <v>-66.599999999998545</v>
      </c>
      <c r="E27" s="805">
        <f>ROUND('4'!C27,1)-ROUND('4'!C26,1)</f>
        <v>3.2000000000000455</v>
      </c>
      <c r="F27" s="805">
        <f>ROUND('4'!D27,1)-ROUND('4'!D26,1)</f>
        <v>-594.40000000000009</v>
      </c>
      <c r="G27" s="572">
        <f>ROUND('4'!E27,1)-ROUND('4'!E26,1)</f>
        <v>-591.20000000000005</v>
      </c>
      <c r="H27" s="805">
        <f>ROUND('4'!F27,1)-ROUND('4'!F26,1)</f>
        <v>583.60000000000036</v>
      </c>
      <c r="I27" s="805">
        <f>ROUND('4'!G27,1)-ROUND('4'!G26,1)</f>
        <v>298.39999999999964</v>
      </c>
      <c r="J27" s="805">
        <f>ROUND('4'!H27,1)-ROUND('4'!H26,1)</f>
        <v>-357.39999999999964</v>
      </c>
      <c r="K27" s="572">
        <f>ROUND('4'!I27,1)-ROUND('4'!I26,1)</f>
        <v>524.59999999999854</v>
      </c>
      <c r="L27" s="2022"/>
      <c r="M27" s="995"/>
    </row>
    <row r="28" spans="1:13" s="321" customFormat="1" ht="15" customHeight="1">
      <c r="A28" s="770"/>
      <c r="B28" s="771" t="s">
        <v>244</v>
      </c>
      <c r="C28" s="1195">
        <f>C37</f>
        <v>16016.12461470573</v>
      </c>
      <c r="D28" s="572">
        <f>ROUND(C28,1)-ROUND(C27,1)</f>
        <v>116.39999999999964</v>
      </c>
      <c r="E28" s="805">
        <f>ROUND('4'!C28,1)-ROUND('4'!C27,1)</f>
        <v>-10.900000000000091</v>
      </c>
      <c r="F28" s="805">
        <f>ROUND('4'!D28,1)-ROUND('4'!D27,1)</f>
        <v>-510.89999999999964</v>
      </c>
      <c r="G28" s="572">
        <f>ROUND('4'!E28,1)-ROUND('4'!E27,1)</f>
        <v>-521.79999999999973</v>
      </c>
      <c r="H28" s="805">
        <f>ROUND('4'!F28,1)-ROUND('4'!F27,1)</f>
        <v>411.89999999999964</v>
      </c>
      <c r="I28" s="805">
        <f>ROUND('4'!G28,1)-ROUND('4'!G27,1)</f>
        <v>139</v>
      </c>
      <c r="J28" s="805">
        <f>ROUND('4'!H28,1)-ROUND('4'!H27,1)</f>
        <v>87.300000000000182</v>
      </c>
      <c r="K28" s="572">
        <f>ROUND('4'!I28,1)-ROUND('4'!I27,1)</f>
        <v>638.20000000000073</v>
      </c>
      <c r="L28" s="2022"/>
      <c r="M28" s="995"/>
    </row>
    <row r="29" spans="1:13" s="321" customFormat="1" ht="15" customHeight="1">
      <c r="A29" s="770"/>
      <c r="B29" s="771" t="s">
        <v>245</v>
      </c>
      <c r="C29" s="1195">
        <f>C40</f>
        <v>16626.187498621013</v>
      </c>
      <c r="D29" s="572">
        <f>ROUND(C29,1)-ROUND(C28,1)</f>
        <v>610.10000000000036</v>
      </c>
      <c r="E29" s="805">
        <f>ROUND('4'!C29,1)-ROUND('4'!C28,1)</f>
        <v>404.70000000000005</v>
      </c>
      <c r="F29" s="805">
        <f>ROUND('4'!D29,1)-ROUND('4'!D28,1)</f>
        <v>117.39999999999964</v>
      </c>
      <c r="G29" s="572">
        <f>ROUND('4'!E29,1)-ROUND('4'!E28,1)</f>
        <v>522.09999999999991</v>
      </c>
      <c r="H29" s="805">
        <f>ROUND('4'!F29,1)-ROUND('4'!F28,1)</f>
        <v>319.80000000000109</v>
      </c>
      <c r="I29" s="805">
        <f>ROUND('4'!G29,1)-ROUND('4'!G28,1)</f>
        <v>-110.09999999999854</v>
      </c>
      <c r="J29" s="805">
        <f>ROUND('4'!H29,1)-ROUND('4'!H28,1)</f>
        <v>-121.70000000000073</v>
      </c>
      <c r="K29" s="572">
        <f>ROUND('4'!I29,1)-ROUND('4'!I28,1)</f>
        <v>88</v>
      </c>
      <c r="L29" s="2022"/>
      <c r="M29" s="995"/>
    </row>
    <row r="30" spans="1:13" s="321" customFormat="1" ht="15" customHeight="1">
      <c r="A30" s="930"/>
      <c r="B30" s="1025" t="s">
        <v>242</v>
      </c>
      <c r="C30" s="1110">
        <f>C43</f>
        <v>16220.381899778669</v>
      </c>
      <c r="D30" s="1214">
        <f>ROUND(C30,1)-ROUND(C29,1)</f>
        <v>-405.80000000000109</v>
      </c>
      <c r="E30" s="1215">
        <f>ROUND('4'!C30,1)-ROUND('4'!C29,1)</f>
        <v>-484.70000000000005</v>
      </c>
      <c r="F30" s="1215">
        <f>ROUND('4'!D30,1)-ROUND('4'!D29,1)</f>
        <v>-134.39999999999964</v>
      </c>
      <c r="G30" s="1214">
        <f>ROUND('4'!E30,1)-ROUND('4'!E29,1)</f>
        <v>-619.09999999999991</v>
      </c>
      <c r="H30" s="1215">
        <f>ROUND('4'!F30,1)-ROUND('4'!F29,1)</f>
        <v>-27.600000000000364</v>
      </c>
      <c r="I30" s="1215">
        <f>ROUND('4'!G30,1)-ROUND('4'!G29,1)</f>
        <v>-235.20000000000073</v>
      </c>
      <c r="J30" s="1215">
        <f>ROUND('4'!H30,1)-ROUND('4'!H29,1)</f>
        <v>476.10000000000036</v>
      </c>
      <c r="K30" s="1214">
        <f>ROUND('4'!I30,1)-ROUND('4'!I29,1)</f>
        <v>213.29999999999927</v>
      </c>
      <c r="L30" s="2022"/>
      <c r="M30" s="995"/>
    </row>
    <row r="31" spans="1:13" s="306" customFormat="1" ht="21" customHeight="1">
      <c r="A31" s="405">
        <v>2023</v>
      </c>
      <c r="B31" s="516" t="s">
        <v>426</v>
      </c>
      <c r="C31" s="571">
        <v>15966.291360589066</v>
      </c>
      <c r="D31" s="572">
        <v>246.5</v>
      </c>
      <c r="E31" s="805">
        <v>326.90000000000009</v>
      </c>
      <c r="F31" s="805">
        <v>154.19999999999982</v>
      </c>
      <c r="G31" s="572">
        <v>481.10000000000014</v>
      </c>
      <c r="H31" s="805">
        <v>-347</v>
      </c>
      <c r="I31" s="805">
        <v>-9.8000000000010914</v>
      </c>
      <c r="J31" s="805">
        <v>122.19999999999982</v>
      </c>
      <c r="K31" s="572">
        <v>-234.59999999999854</v>
      </c>
      <c r="L31" s="995"/>
      <c r="M31" s="995"/>
    </row>
    <row r="32" spans="1:13" s="306" customFormat="1" ht="21" customHeight="1">
      <c r="A32" s="405">
        <v>2024</v>
      </c>
      <c r="B32" s="516" t="s">
        <v>427</v>
      </c>
      <c r="C32" s="571">
        <f>'3'!J32</f>
        <v>15790.880686480017</v>
      </c>
      <c r="D32" s="572">
        <f t="shared" ref="D32:D33" si="2">ROUND(C32,1)-ROUND(C31,1)</f>
        <v>-175.39999999999964</v>
      </c>
      <c r="E32" s="805">
        <f>ROUND('4'!C32,1)-ROUND('4'!C31,1)</f>
        <v>38.899999999999864</v>
      </c>
      <c r="F32" s="805">
        <f>ROUND('4'!D32,1)-ROUND('4'!D31,1)</f>
        <v>-310.09999999999991</v>
      </c>
      <c r="G32" s="572">
        <f>ROUND('4'!E32,1)-ROUND('4'!E31,1)</f>
        <v>-271.20000000000005</v>
      </c>
      <c r="H32" s="805">
        <f>ROUND('4'!F32,1)-ROUND('4'!F31,1)</f>
        <v>207.80000000000109</v>
      </c>
      <c r="I32" s="805">
        <f>ROUND('4'!G32,1)-ROUND('4'!G31,1)</f>
        <v>62.399999999999636</v>
      </c>
      <c r="J32" s="805">
        <f>ROUND('4'!H32,1)-ROUND('4'!H31,1)</f>
        <v>-174.39999999999964</v>
      </c>
      <c r="K32" s="572">
        <f>ROUND('4'!I32,1)-ROUND('4'!I31,1)</f>
        <v>95.799999999999272</v>
      </c>
      <c r="L32" s="995"/>
      <c r="M32" s="995"/>
    </row>
    <row r="33" spans="1:13" s="306" customFormat="1" ht="16.5" customHeight="1">
      <c r="A33" s="405"/>
      <c r="B33" s="516" t="s">
        <v>416</v>
      </c>
      <c r="C33" s="571">
        <f>'3'!J33</f>
        <v>15690.902942848194</v>
      </c>
      <c r="D33" s="572">
        <f t="shared" si="2"/>
        <v>-100</v>
      </c>
      <c r="E33" s="805">
        <f>ROUND('4'!C33,1)-ROUND('4'!C32,1)</f>
        <v>-18.5</v>
      </c>
      <c r="F33" s="805">
        <f>ROUND('4'!D33,1)-ROUND('4'!D32,1)</f>
        <v>83.300000000000182</v>
      </c>
      <c r="G33" s="572">
        <f>ROUND('4'!E33,1)-ROUND('4'!E32,1)</f>
        <v>64.800000000000182</v>
      </c>
      <c r="H33" s="805">
        <f>ROUND('4'!F33,1)-ROUND('4'!F32,1)</f>
        <v>-160.40000000000146</v>
      </c>
      <c r="I33" s="805">
        <f>ROUND('4'!G33,1)-ROUND('4'!G32,1)</f>
        <v>70.5</v>
      </c>
      <c r="J33" s="805">
        <f>ROUND('4'!H33,1)-ROUND('4'!H32,1)</f>
        <v>-74.900000000000546</v>
      </c>
      <c r="K33" s="572">
        <f>ROUND('4'!I33,1)-ROUND('4'!I32,1)</f>
        <v>-164.79999999999927</v>
      </c>
      <c r="L33" s="995"/>
      <c r="M33" s="995"/>
    </row>
    <row r="34" spans="1:13" s="306" customFormat="1" ht="16.5" customHeight="1">
      <c r="A34" s="405"/>
      <c r="B34" s="516" t="s">
        <v>417</v>
      </c>
      <c r="C34" s="571">
        <f>'3'!J34</f>
        <v>15899.657414014246</v>
      </c>
      <c r="D34" s="572">
        <f t="shared" ref="D34" si="3">ROUND(C34,1)-ROUND(C33,1)</f>
        <v>208.80000000000109</v>
      </c>
      <c r="E34" s="805">
        <f>ROUND('4'!C34,1)-ROUND('4'!C33,1)</f>
        <v>-17.199999999999818</v>
      </c>
      <c r="F34" s="805">
        <f>ROUND('4'!D34,1)-ROUND('4'!D33,1)</f>
        <v>-367.60000000000036</v>
      </c>
      <c r="G34" s="572">
        <f>ROUND('4'!E34,1)-ROUND('4'!E33,1)</f>
        <v>-384.80000000000018</v>
      </c>
      <c r="H34" s="805">
        <f>ROUND('4'!F34,1)-ROUND('4'!F33,1)</f>
        <v>536.20000000000073</v>
      </c>
      <c r="I34" s="805">
        <f>ROUND('4'!G34,1)-ROUND('4'!G33,1)</f>
        <v>165.5</v>
      </c>
      <c r="J34" s="805">
        <f>ROUND('4'!H34,1)-ROUND('4'!H33,1)</f>
        <v>-108.09999999999945</v>
      </c>
      <c r="K34" s="572">
        <f>ROUND('4'!I34,1)-ROUND('4'!I33,1)</f>
        <v>593.59999999999854</v>
      </c>
      <c r="L34" s="995"/>
      <c r="M34" s="995"/>
    </row>
    <row r="35" spans="1:13" s="306" customFormat="1" ht="16.5" customHeight="1">
      <c r="A35" s="405"/>
      <c r="B35" s="516" t="s">
        <v>418</v>
      </c>
      <c r="C35" s="571">
        <f>'3'!J35</f>
        <v>15948.127366419669</v>
      </c>
      <c r="D35" s="572">
        <f t="shared" ref="D35" si="4">ROUND(C35,1)-ROUND(C34,1)</f>
        <v>48.399999999999636</v>
      </c>
      <c r="E35" s="805">
        <f>ROUND('4'!C35,1)-ROUND('4'!C34,1)</f>
        <v>-146.70000000000005</v>
      </c>
      <c r="F35" s="805">
        <f>ROUND('4'!D35,1)-ROUND('4'!D34,1)</f>
        <v>-190.19999999999982</v>
      </c>
      <c r="G35" s="572">
        <f>ROUND('4'!E35,1)-ROUND('4'!E34,1)</f>
        <v>-336.90000000000009</v>
      </c>
      <c r="H35" s="805">
        <f>ROUND('4'!F35,1)-ROUND('4'!F34,1)</f>
        <v>286.60000000000036</v>
      </c>
      <c r="I35" s="805">
        <f>ROUND('4'!G35,1)-ROUND('4'!G34,1)</f>
        <v>30.800000000001091</v>
      </c>
      <c r="J35" s="805">
        <f>ROUND('4'!H35,1)-ROUND('4'!H34,1)</f>
        <v>67.899999999999636</v>
      </c>
      <c r="K35" s="572">
        <f>ROUND('4'!I35,1)-ROUND('4'!I34,1)</f>
        <v>385.30000000000291</v>
      </c>
      <c r="L35" s="995"/>
      <c r="M35" s="995"/>
    </row>
    <row r="36" spans="1:13" s="306" customFormat="1" ht="16.5" customHeight="1">
      <c r="A36" s="405"/>
      <c r="B36" s="516" t="s">
        <v>419</v>
      </c>
      <c r="C36" s="571">
        <f>'3'!J36</f>
        <v>15792.167538865997</v>
      </c>
      <c r="D36" s="572">
        <f t="shared" ref="D36" si="5">ROUND(C36,1)-ROUND(C35,1)</f>
        <v>-155.89999999999964</v>
      </c>
      <c r="E36" s="805">
        <f>ROUND('4'!C36,1)-ROUND('4'!C35,1)</f>
        <v>-31</v>
      </c>
      <c r="F36" s="805">
        <f>ROUND('4'!D36,1)-ROUND('4'!D35,1)</f>
        <v>-59.199999999999818</v>
      </c>
      <c r="G36" s="572">
        <f>ROUND('4'!E36,1)-ROUND('4'!E35,1)</f>
        <v>-90.199999999999818</v>
      </c>
      <c r="H36" s="805">
        <f>ROUND('4'!F36,1)-ROUND('4'!F35,1)</f>
        <v>-138.70000000000073</v>
      </c>
      <c r="I36" s="805">
        <f>ROUND('4'!G36,1)-ROUND('4'!G35,1)</f>
        <v>71.5</v>
      </c>
      <c r="J36" s="805">
        <f>ROUND('4'!H36,1)-ROUND('4'!H35,1)</f>
        <v>1.5</v>
      </c>
      <c r="K36" s="572">
        <f>ROUND('4'!I36,1)-ROUND('4'!I35,1)</f>
        <v>-65.700000000000728</v>
      </c>
      <c r="L36" s="995"/>
      <c r="M36" s="995"/>
    </row>
    <row r="37" spans="1:13" s="306" customFormat="1" ht="16.5" customHeight="1">
      <c r="A37" s="405"/>
      <c r="B37" s="516" t="s">
        <v>420</v>
      </c>
      <c r="C37" s="571">
        <f>'3'!J37</f>
        <v>16016.12461470573</v>
      </c>
      <c r="D37" s="572">
        <f t="shared" ref="D37" si="6">ROUND(C37,1)-ROUND(C36,1)</f>
        <v>223.89999999999964</v>
      </c>
      <c r="E37" s="805">
        <f>ROUND('4'!C37,1)-ROUND('4'!C36,1)</f>
        <v>166.79999999999995</v>
      </c>
      <c r="F37" s="805">
        <f>ROUND('4'!D37,1)-ROUND('4'!D36,1)</f>
        <v>-261.5</v>
      </c>
      <c r="G37" s="572">
        <f>ROUND('4'!E37,1)-ROUND('4'!E36,1)</f>
        <v>-94.699999999999818</v>
      </c>
      <c r="H37" s="805">
        <f>ROUND('4'!F37,1)-ROUND('4'!F36,1)</f>
        <v>264</v>
      </c>
      <c r="I37" s="805">
        <f>ROUND('4'!G37,1)-ROUND('4'!G36,1)</f>
        <v>36.699999999998909</v>
      </c>
      <c r="J37" s="805">
        <f>ROUND('4'!H37,1)-ROUND('4'!H36,1)</f>
        <v>17.900000000000546</v>
      </c>
      <c r="K37" s="572">
        <f>ROUND('4'!I37,1)-ROUND('4'!I36,1)</f>
        <v>318.59999999999854</v>
      </c>
      <c r="L37" s="995"/>
      <c r="M37" s="995"/>
    </row>
    <row r="38" spans="1:13" s="306" customFormat="1" ht="16.5" customHeight="1">
      <c r="A38" s="405"/>
      <c r="B38" s="516" t="s">
        <v>421</v>
      </c>
      <c r="C38" s="571">
        <f>'3'!J38</f>
        <v>16072.105938141038</v>
      </c>
      <c r="D38" s="572">
        <f t="shared" ref="D38" si="7">ROUND(C38,1)-ROUND(C37,1)</f>
        <v>56</v>
      </c>
      <c r="E38" s="805">
        <f>ROUND('4'!C38,1)-ROUND('4'!C37,1)</f>
        <v>-26.700000000000045</v>
      </c>
      <c r="F38" s="805">
        <f>ROUND('4'!D38,1)-ROUND('4'!D37,1)</f>
        <v>191</v>
      </c>
      <c r="G38" s="572">
        <f>ROUND('4'!E38,1)-ROUND('4'!E37,1)</f>
        <v>164.29999999999973</v>
      </c>
      <c r="H38" s="805">
        <f>ROUND('4'!F38,1)-ROUND('4'!F37,1)</f>
        <v>338.5</v>
      </c>
      <c r="I38" s="805">
        <f>ROUND('4'!G38,1)-ROUND('4'!G37,1)</f>
        <v>-113.59999999999854</v>
      </c>
      <c r="J38" s="805">
        <f>ROUND('4'!H38,1)-ROUND('4'!H37,1)</f>
        <v>-333.20000000000073</v>
      </c>
      <c r="K38" s="572">
        <f>ROUND('4'!I38,1)-ROUND('4'!I37,1)</f>
        <v>-108.29999999999927</v>
      </c>
      <c r="L38" s="995"/>
      <c r="M38" s="995"/>
    </row>
    <row r="39" spans="1:13" s="306" customFormat="1" ht="16.5" customHeight="1">
      <c r="A39" s="405"/>
      <c r="B39" s="516" t="s">
        <v>422</v>
      </c>
      <c r="C39" s="571">
        <f>'3'!J39</f>
        <v>16447.842976756867</v>
      </c>
      <c r="D39" s="572">
        <f t="shared" ref="D39" si="8">ROUND(C39,1)-ROUND(C38,1)</f>
        <v>375.69999999999891</v>
      </c>
      <c r="E39" s="805">
        <f>ROUND('4'!C39,1)-ROUND('4'!C38,1)</f>
        <v>143.20000000000005</v>
      </c>
      <c r="F39" s="805">
        <f>ROUND('4'!D39,1)-ROUND('4'!D38,1)</f>
        <v>299</v>
      </c>
      <c r="G39" s="572">
        <f>ROUND('4'!E39,1)-ROUND('4'!E38,1)</f>
        <v>442.20000000000027</v>
      </c>
      <c r="H39" s="805">
        <f>ROUND('4'!F39,1)-ROUND('4'!F38,1)</f>
        <v>95.300000000001091</v>
      </c>
      <c r="I39" s="805">
        <f>ROUND('4'!G39,1)-ROUND('4'!G38,1)</f>
        <v>-31.100000000000364</v>
      </c>
      <c r="J39" s="805">
        <f>ROUND('4'!H39,1)-ROUND('4'!H38,1)</f>
        <v>-130.69999999999982</v>
      </c>
      <c r="K39" s="572">
        <f>ROUND('4'!I39,1)-ROUND('4'!I38,1)</f>
        <v>-66.5</v>
      </c>
      <c r="L39" s="995"/>
      <c r="M39" s="995"/>
    </row>
    <row r="40" spans="1:13" s="306" customFormat="1" ht="16.5" customHeight="1">
      <c r="A40" s="405"/>
      <c r="B40" s="516" t="s">
        <v>423</v>
      </c>
      <c r="C40" s="571">
        <f>'3'!J40</f>
        <v>16626.187498621013</v>
      </c>
      <c r="D40" s="572">
        <f t="shared" ref="D40" si="9">ROUND(C40,1)-ROUND(C39,1)</f>
        <v>178.40000000000146</v>
      </c>
      <c r="E40" s="805">
        <f>ROUND('4'!C40,1)-ROUND('4'!C39,1)</f>
        <v>288.20000000000005</v>
      </c>
      <c r="F40" s="805">
        <f>ROUND('4'!D40,1)-ROUND('4'!D39,1)</f>
        <v>-372.60000000000036</v>
      </c>
      <c r="G40" s="572">
        <f>ROUND('4'!E40,1)-ROUND('4'!E39,1)</f>
        <v>-84.400000000000091</v>
      </c>
      <c r="H40" s="805">
        <f>ROUND('4'!F40,1)-ROUND('4'!F39,1)</f>
        <v>-114</v>
      </c>
      <c r="I40" s="805">
        <f>ROUND('4'!G40,1)-ROUND('4'!G39,1)</f>
        <v>34.600000000000364</v>
      </c>
      <c r="J40" s="805">
        <f>ROUND('4'!H40,1)-ROUND('4'!H39,1)</f>
        <v>342.19999999999982</v>
      </c>
      <c r="K40" s="572">
        <f>ROUND('4'!I40,1)-ROUND('4'!I39,1)</f>
        <v>262.79999999999927</v>
      </c>
      <c r="L40" s="995"/>
      <c r="M40" s="995"/>
    </row>
    <row r="41" spans="1:13" s="306" customFormat="1" ht="16.5" customHeight="1">
      <c r="A41" s="405"/>
      <c r="B41" s="516" t="s">
        <v>424</v>
      </c>
      <c r="C41" s="571">
        <f>'3'!J41</f>
        <v>16459.238029372955</v>
      </c>
      <c r="D41" s="572">
        <f t="shared" ref="D41" si="10">ROUND(C41,1)-ROUND(C40,1)</f>
        <v>-167</v>
      </c>
      <c r="E41" s="805">
        <f>ROUND('4'!C41,1)-ROUND('4'!C40,1)</f>
        <v>-317.5</v>
      </c>
      <c r="F41" s="805">
        <f>ROUND('4'!D41,1)-ROUND('4'!D40,1)</f>
        <v>-126.69999999999982</v>
      </c>
      <c r="G41" s="572">
        <f>ROUND('4'!E41,1)-ROUND('4'!E40,1)</f>
        <v>-444.20000000000027</v>
      </c>
      <c r="H41" s="805">
        <f>ROUND('4'!F41,1)-ROUND('4'!F40,1)</f>
        <v>225.79999999999927</v>
      </c>
      <c r="I41" s="805">
        <f>ROUND('4'!G41,1)-ROUND('4'!G40,1)</f>
        <v>-82.900000000001455</v>
      </c>
      <c r="J41" s="805">
        <f>ROUND('4'!H41,1)-ROUND('4'!H40,1)</f>
        <v>134.30000000000018</v>
      </c>
      <c r="K41" s="572">
        <f>ROUND('4'!I41,1)-ROUND('4'!I40,1)</f>
        <v>277.20000000000073</v>
      </c>
      <c r="L41" s="995"/>
      <c r="M41" s="995"/>
    </row>
    <row r="42" spans="1:13" s="306" customFormat="1" ht="16.5" customHeight="1">
      <c r="A42" s="405"/>
      <c r="B42" s="516" t="s">
        <v>425</v>
      </c>
      <c r="C42" s="571">
        <f>'3'!J42</f>
        <v>16263.784701865288</v>
      </c>
      <c r="D42" s="572">
        <f t="shared" ref="D42" si="11">ROUND(C42,1)-ROUND(C41,1)</f>
        <v>-195.40000000000146</v>
      </c>
      <c r="E42" s="805">
        <f>ROUND('4'!C42,1)-ROUND('4'!C41,1)</f>
        <v>-350.5</v>
      </c>
      <c r="F42" s="805">
        <f>ROUND('4'!D42,1)-ROUND('4'!D41,1)</f>
        <v>72.100000000000364</v>
      </c>
      <c r="G42" s="572">
        <f>ROUND('4'!E42,1)-ROUND('4'!E41,1)</f>
        <v>-278.39999999999964</v>
      </c>
      <c r="H42" s="805">
        <f>ROUND('4'!F42,1)-ROUND('4'!F41,1)</f>
        <v>261.79999999999927</v>
      </c>
      <c r="I42" s="805">
        <f>ROUND('4'!G42,1)-ROUND('4'!G41,1)</f>
        <v>-136.79999999999927</v>
      </c>
      <c r="J42" s="805">
        <f>ROUND('4'!H42,1)-ROUND('4'!H41,1)</f>
        <v>-42</v>
      </c>
      <c r="K42" s="572">
        <f>ROUND('4'!I42,1)-ROUND('4'!I41,1)</f>
        <v>83</v>
      </c>
      <c r="L42" s="995"/>
      <c r="M42" s="995"/>
    </row>
    <row r="43" spans="1:13" s="306" customFormat="1" ht="16.5" customHeight="1">
      <c r="A43" s="405"/>
      <c r="B43" s="516" t="s">
        <v>426</v>
      </c>
      <c r="C43" s="571">
        <f>'3'!J43</f>
        <v>16220.381899778669</v>
      </c>
      <c r="D43" s="572">
        <f t="shared" ref="D43" si="12">ROUND(C43,1)-ROUND(C42,1)</f>
        <v>-43.399999999999636</v>
      </c>
      <c r="E43" s="805">
        <f>ROUND('4'!C43,1)-ROUND('4'!C42,1)</f>
        <v>183.29999999999995</v>
      </c>
      <c r="F43" s="805">
        <f>ROUND('4'!D43,1)-ROUND('4'!D42,1)</f>
        <v>-79.800000000000182</v>
      </c>
      <c r="G43" s="572">
        <f>ROUND('4'!E43,1)-ROUND('4'!E42,1)</f>
        <v>103.5</v>
      </c>
      <c r="H43" s="805">
        <f>ROUND('4'!F43,1)-ROUND('4'!F42,1)</f>
        <v>-515.19999999999891</v>
      </c>
      <c r="I43" s="805">
        <f>ROUND('4'!G43,1)-ROUND('4'!G42,1)</f>
        <v>-15.5</v>
      </c>
      <c r="J43" s="805">
        <f>ROUND('4'!H43,1)-ROUND('4'!H42,1)</f>
        <v>383.80000000000018</v>
      </c>
      <c r="K43" s="572">
        <f>ROUND('4'!I43,1)-ROUND('4'!I42,1)</f>
        <v>-146.90000000000146</v>
      </c>
      <c r="L43" s="995"/>
      <c r="M43" s="995"/>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525</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33" activePane="bottomLeft" state="frozen"/>
      <selection activeCell="B12" sqref="B12"/>
      <selection pane="bottomLeft" activeCell="B12" sqref="B12"/>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1789</v>
      </c>
      <c r="B1" s="387"/>
      <c r="C1" s="387"/>
      <c r="D1" s="387"/>
      <c r="E1" s="387"/>
      <c r="F1" s="387"/>
      <c r="G1" s="387"/>
      <c r="H1" s="387"/>
      <c r="I1" s="387"/>
      <c r="J1" s="387"/>
      <c r="K1" s="387"/>
      <c r="L1" s="387"/>
    </row>
    <row r="2" spans="1:14" ht="18">
      <c r="A2" s="1690" t="s">
        <v>526</v>
      </c>
      <c r="B2" s="387"/>
      <c r="C2" s="387"/>
      <c r="D2" s="387"/>
      <c r="E2" s="387"/>
      <c r="F2" s="387"/>
      <c r="G2" s="387"/>
      <c r="H2" s="387"/>
      <c r="I2" s="387"/>
      <c r="J2" s="387"/>
      <c r="K2" s="387"/>
      <c r="L2" s="387"/>
    </row>
    <row r="3" spans="1:14" ht="18">
      <c r="A3" s="277" t="s">
        <v>348</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527</v>
      </c>
      <c r="B9" s="389"/>
      <c r="C9" s="389"/>
      <c r="D9" s="389"/>
      <c r="E9" s="389"/>
      <c r="F9" s="389"/>
      <c r="G9" s="389"/>
      <c r="H9" s="389"/>
      <c r="I9" s="389"/>
      <c r="J9" s="389"/>
      <c r="K9" s="390"/>
      <c r="L9" s="391" t="s">
        <v>528</v>
      </c>
    </row>
    <row r="10" spans="1:14" s="164" customFormat="1" ht="21.2" customHeight="1">
      <c r="A10" s="163"/>
      <c r="B10" s="165"/>
      <c r="C10" s="392" t="s">
        <v>529</v>
      </c>
      <c r="D10" s="393"/>
      <c r="E10" s="394"/>
      <c r="F10" s="394"/>
      <c r="G10" s="395" t="s">
        <v>530</v>
      </c>
      <c r="H10" s="167" t="s">
        <v>531</v>
      </c>
      <c r="I10" s="393"/>
      <c r="J10" s="394"/>
      <c r="K10" s="394"/>
      <c r="L10" s="395" t="s">
        <v>532</v>
      </c>
    </row>
    <row r="11" spans="1:14" s="164" customFormat="1" ht="15.75">
      <c r="A11" s="396" t="s">
        <v>383</v>
      </c>
      <c r="B11" s="397"/>
      <c r="C11" s="398" t="s">
        <v>533</v>
      </c>
      <c r="D11" s="399" t="s">
        <v>534</v>
      </c>
      <c r="E11" s="398" t="s">
        <v>535</v>
      </c>
      <c r="F11" s="399" t="s">
        <v>536</v>
      </c>
      <c r="G11" s="399" t="s">
        <v>537</v>
      </c>
      <c r="H11" s="398" t="s">
        <v>538</v>
      </c>
      <c r="I11" s="399" t="s">
        <v>539</v>
      </c>
      <c r="J11" s="399" t="s">
        <v>354</v>
      </c>
      <c r="K11" s="399" t="s">
        <v>540</v>
      </c>
      <c r="L11" s="400" t="s">
        <v>541</v>
      </c>
    </row>
    <row r="12" spans="1:14" s="404" customFormat="1" ht="31.5">
      <c r="A12" s="179" t="s">
        <v>391</v>
      </c>
      <c r="B12" s="401"/>
      <c r="C12" s="402" t="s">
        <v>542</v>
      </c>
      <c r="D12" s="403" t="s">
        <v>543</v>
      </c>
      <c r="E12" s="402" t="s">
        <v>544</v>
      </c>
      <c r="F12" s="403" t="s">
        <v>545</v>
      </c>
      <c r="G12" s="403" t="s">
        <v>546</v>
      </c>
      <c r="H12" s="402" t="s">
        <v>547</v>
      </c>
      <c r="I12" s="403" t="s">
        <v>548</v>
      </c>
      <c r="J12" s="403" t="s">
        <v>549</v>
      </c>
      <c r="K12" s="403" t="s">
        <v>550</v>
      </c>
      <c r="L12" s="403" t="s">
        <v>551</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8">
        <v>3.0999999999999999E-3</v>
      </c>
      <c r="L13" s="749">
        <v>0.3805</v>
      </c>
      <c r="N13" s="2015"/>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19">
        <v>3.2000000000000002E-3</v>
      </c>
      <c r="L14" s="750">
        <v>0.36859999999999998</v>
      </c>
      <c r="N14" s="2015"/>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19">
        <v>3.3E-3</v>
      </c>
      <c r="L15" s="750">
        <v>0.38590000000000002</v>
      </c>
      <c r="N15" s="2015"/>
    </row>
    <row r="16" spans="1:14" s="321" customFormat="1" ht="15" customHeight="1">
      <c r="A16" s="770">
        <v>2018</v>
      </c>
      <c r="B16" s="771"/>
      <c r="C16" s="1193">
        <v>0.10059999999999999</v>
      </c>
      <c r="D16" s="1193">
        <v>1.2386999999999999</v>
      </c>
      <c r="E16" s="1193">
        <v>0.1024</v>
      </c>
      <c r="F16" s="1193">
        <v>0.98180000000000001</v>
      </c>
      <c r="G16" s="1193">
        <v>0.1033</v>
      </c>
      <c r="H16" s="1194">
        <v>0.376</v>
      </c>
      <c r="I16" s="1193">
        <v>0.47710000000000002</v>
      </c>
      <c r="J16" s="1193">
        <v>0.4304</v>
      </c>
      <c r="K16" s="2016">
        <v>3.3999999999999998E-3</v>
      </c>
      <c r="L16" s="1193">
        <v>0.38229999999999997</v>
      </c>
      <c r="M16" s="929"/>
      <c r="N16" s="2015"/>
    </row>
    <row r="17" spans="1:14" s="321" customFormat="1" ht="15" customHeight="1">
      <c r="A17" s="770">
        <v>2019</v>
      </c>
      <c r="B17" s="771"/>
      <c r="C17" s="1193">
        <v>0.10059999999999999</v>
      </c>
      <c r="D17" s="1193">
        <v>1.2410000000000001</v>
      </c>
      <c r="E17" s="1193">
        <v>0.1024</v>
      </c>
      <c r="F17" s="1193">
        <v>0.98180000000000001</v>
      </c>
      <c r="G17" s="1193">
        <v>0.1033</v>
      </c>
      <c r="H17" s="1194">
        <v>0.376</v>
      </c>
      <c r="I17" s="1193">
        <v>0.49320000000000003</v>
      </c>
      <c r="J17" s="1193">
        <v>0.4214</v>
      </c>
      <c r="K17" s="2016">
        <v>3.5000000000000001E-3</v>
      </c>
      <c r="L17" s="1193">
        <v>0.38819999999999999</v>
      </c>
      <c r="M17" s="929"/>
      <c r="N17" s="2015"/>
    </row>
    <row r="18" spans="1:14" s="321" customFormat="1" ht="15" customHeight="1">
      <c r="A18" s="770">
        <v>2020</v>
      </c>
      <c r="B18" s="771"/>
      <c r="C18" s="1193">
        <v>0.10059999999999999</v>
      </c>
      <c r="D18" s="1193">
        <v>1.2402</v>
      </c>
      <c r="E18" s="1193">
        <v>0.1024</v>
      </c>
      <c r="F18" s="1193">
        <v>0.98180000000000001</v>
      </c>
      <c r="G18" s="1193">
        <v>0.1033</v>
      </c>
      <c r="H18" s="1194">
        <v>0.376</v>
      </c>
      <c r="I18" s="1193">
        <v>0.51319999999999999</v>
      </c>
      <c r="J18" s="1193">
        <v>0.46289999999999998</v>
      </c>
      <c r="K18" s="2016">
        <v>3.5999999999999999E-3</v>
      </c>
      <c r="L18" s="1193">
        <v>0.4269</v>
      </c>
      <c r="M18" s="929"/>
      <c r="N18" s="2015"/>
    </row>
    <row r="19" spans="1:14" s="321" customFormat="1" ht="14.25" customHeight="1">
      <c r="A19" s="770">
        <v>2021</v>
      </c>
      <c r="B19" s="771"/>
      <c r="C19" s="1193">
        <v>0.10059999999999999</v>
      </c>
      <c r="D19" s="1193">
        <v>1.2427999999999999</v>
      </c>
      <c r="E19" s="1193">
        <v>0.1024</v>
      </c>
      <c r="F19" s="1193">
        <v>0.98180000000000001</v>
      </c>
      <c r="G19" s="1193">
        <v>0.1033</v>
      </c>
      <c r="H19" s="1194">
        <v>0.376</v>
      </c>
      <c r="I19" s="1193">
        <v>0.50760000000000005</v>
      </c>
      <c r="J19" s="1193">
        <v>0.4269</v>
      </c>
      <c r="K19" s="2016">
        <v>3.3E-3</v>
      </c>
      <c r="L19" s="1193">
        <v>0.4113</v>
      </c>
      <c r="M19" s="929"/>
      <c r="N19" s="2015"/>
    </row>
    <row r="20" spans="1:14" s="321" customFormat="1" ht="14.25" customHeight="1">
      <c r="A20" s="770">
        <v>2022</v>
      </c>
      <c r="B20" s="771"/>
      <c r="C20" s="1193">
        <v>0.10059999999999999</v>
      </c>
      <c r="D20" s="1193">
        <v>1.2278</v>
      </c>
      <c r="E20" s="1193">
        <v>0.1024</v>
      </c>
      <c r="F20" s="1193">
        <v>0.98180000000000001</v>
      </c>
      <c r="G20" s="1193">
        <v>0.1033</v>
      </c>
      <c r="H20" s="1194">
        <v>0.376</v>
      </c>
      <c r="I20" s="1193">
        <v>0.45279999999999998</v>
      </c>
      <c r="J20" s="1193">
        <v>0.39979999999999999</v>
      </c>
      <c r="K20" s="1193">
        <v>2.8E-3</v>
      </c>
      <c r="L20" s="1193">
        <v>0.40565299999999999</v>
      </c>
      <c r="M20" s="929"/>
    </row>
    <row r="21" spans="1:14" s="321" customFormat="1" ht="14.25" customHeight="1">
      <c r="A21" s="770">
        <v>2023</v>
      </c>
      <c r="B21" s="771"/>
      <c r="C21" s="1193">
        <f t="shared" ref="C21:L21" si="0">C26</f>
        <v>0.10059999999999999</v>
      </c>
      <c r="D21" s="1193">
        <f t="shared" si="0"/>
        <v>1.2247600000000001</v>
      </c>
      <c r="E21" s="1193">
        <f t="shared" si="0"/>
        <v>0.1024</v>
      </c>
      <c r="F21" s="1193">
        <f t="shared" si="0"/>
        <v>0.98180000000000001</v>
      </c>
      <c r="G21" s="1193">
        <f t="shared" si="0"/>
        <v>0.1033</v>
      </c>
      <c r="H21" s="1194">
        <f t="shared" si="0"/>
        <v>0.376</v>
      </c>
      <c r="I21" s="1193">
        <f t="shared" si="0"/>
        <v>0.47910000000000003</v>
      </c>
      <c r="J21" s="1193">
        <f t="shared" si="0"/>
        <v>0.41660000000000003</v>
      </c>
      <c r="K21" s="1193">
        <f t="shared" si="0"/>
        <v>2.6549999999999998E-3</v>
      </c>
      <c r="L21" s="1193">
        <f t="shared" si="0"/>
        <v>0.44625500000000001</v>
      </c>
      <c r="M21" s="929"/>
    </row>
    <row r="22" spans="1:14" s="321" customFormat="1" ht="14.25" customHeight="1">
      <c r="A22" s="930">
        <v>2024</v>
      </c>
      <c r="B22" s="1025"/>
      <c r="C22" s="1108">
        <f t="shared" ref="C22:L22" si="1">C30</f>
        <v>0.10059999999999999</v>
      </c>
      <c r="D22" s="1108">
        <f t="shared" si="1"/>
        <v>1.220766</v>
      </c>
      <c r="E22" s="1345">
        <f t="shared" si="1"/>
        <v>0.1024</v>
      </c>
      <c r="F22" s="1108">
        <f t="shared" si="1"/>
        <v>0.98180000000000001</v>
      </c>
      <c r="G22" s="1108">
        <f t="shared" si="1"/>
        <v>0.1033</v>
      </c>
      <c r="H22" s="1109">
        <f t="shared" si="1"/>
        <v>0.376</v>
      </c>
      <c r="I22" s="1108">
        <f t="shared" si="1"/>
        <v>0.47188799999999997</v>
      </c>
      <c r="J22" s="1108">
        <f t="shared" si="1"/>
        <v>0.39125599999999999</v>
      </c>
      <c r="K22" s="1108">
        <f t="shared" si="1"/>
        <v>2.3999999999999998E-3</v>
      </c>
      <c r="L22" s="1108">
        <f t="shared" si="1"/>
        <v>0.41645700000000002</v>
      </c>
      <c r="M22" s="929"/>
    </row>
    <row r="23" spans="1:14" s="321" customFormat="1" ht="21" customHeight="1">
      <c r="A23" s="770">
        <v>2023</v>
      </c>
      <c r="B23" s="771" t="s">
        <v>243</v>
      </c>
      <c r="C23" s="1193">
        <v>0.10059999999999999</v>
      </c>
      <c r="D23" s="1193">
        <v>1.2245999999999999</v>
      </c>
      <c r="E23" s="1193">
        <v>0.1024</v>
      </c>
      <c r="F23" s="1193">
        <v>0.98180000000000001</v>
      </c>
      <c r="G23" s="1193">
        <v>0.1033</v>
      </c>
      <c r="H23" s="1194">
        <v>0.376</v>
      </c>
      <c r="I23" s="1193">
        <v>0.46299000000000001</v>
      </c>
      <c r="J23" s="1193">
        <v>0.40776600000000002</v>
      </c>
      <c r="K23" s="1193">
        <v>2.8370000000000001E-3</v>
      </c>
      <c r="L23" s="1193">
        <v>0.40949999999999998</v>
      </c>
      <c r="M23" s="929"/>
    </row>
    <row r="24" spans="1:14" s="321" customFormat="1">
      <c r="A24" s="770"/>
      <c r="B24" s="771" t="s">
        <v>244</v>
      </c>
      <c r="C24" s="1193">
        <v>0.10059999999999999</v>
      </c>
      <c r="D24" s="1193">
        <v>1.2237</v>
      </c>
      <c r="E24" s="1193">
        <v>0.1024</v>
      </c>
      <c r="F24" s="1193">
        <v>0.98180000000000001</v>
      </c>
      <c r="G24" s="1193">
        <v>0.1033</v>
      </c>
      <c r="H24" s="1194">
        <v>0.376</v>
      </c>
      <c r="I24" s="1193">
        <v>0.47799999999999998</v>
      </c>
      <c r="J24" s="1193">
        <v>0.4103</v>
      </c>
      <c r="K24" s="1193">
        <v>2.5999999999999999E-3</v>
      </c>
      <c r="L24" s="1193">
        <v>0.41980000000000001</v>
      </c>
      <c r="M24" s="929"/>
    </row>
    <row r="25" spans="1:14" s="321" customFormat="1">
      <c r="A25" s="770"/>
      <c r="B25" s="771" t="s">
        <v>245</v>
      </c>
      <c r="C25" s="2017">
        <v>0.10059999999999999</v>
      </c>
      <c r="D25" s="1193">
        <v>1.216</v>
      </c>
      <c r="E25" s="2018">
        <v>0.1024</v>
      </c>
      <c r="F25" s="1193">
        <v>0.98180000000000001</v>
      </c>
      <c r="G25" s="1193">
        <v>0.1033</v>
      </c>
      <c r="H25" s="1194">
        <v>0.376</v>
      </c>
      <c r="I25" s="1193">
        <v>0.45639999999999997</v>
      </c>
      <c r="J25" s="1193">
        <v>0.39510000000000001</v>
      </c>
      <c r="K25" s="1193">
        <v>2.5000000000000001E-3</v>
      </c>
      <c r="L25" s="1193">
        <v>0.40839999999999999</v>
      </c>
      <c r="M25" s="929"/>
    </row>
    <row r="26" spans="1:14" s="321" customFormat="1">
      <c r="A26" s="770"/>
      <c r="B26" s="771" t="s">
        <v>242</v>
      </c>
      <c r="C26" s="1193">
        <v>0.10059999999999999</v>
      </c>
      <c r="D26" s="1193">
        <v>1.2247600000000001</v>
      </c>
      <c r="E26" s="1193">
        <v>0.1024</v>
      </c>
      <c r="F26" s="1193">
        <v>0.98180000000000001</v>
      </c>
      <c r="G26" s="1193">
        <v>0.1033</v>
      </c>
      <c r="H26" s="1194">
        <v>0.376</v>
      </c>
      <c r="I26" s="1193">
        <v>0.47910000000000003</v>
      </c>
      <c r="J26" s="1193">
        <v>0.41660000000000003</v>
      </c>
      <c r="K26" s="1193">
        <v>2.6549999999999998E-3</v>
      </c>
      <c r="L26" s="1193">
        <v>0.44625500000000001</v>
      </c>
      <c r="M26" s="929"/>
    </row>
    <row r="27" spans="1:14" s="321" customFormat="1" ht="21" customHeight="1">
      <c r="A27" s="770">
        <v>2024</v>
      </c>
      <c r="B27" s="771" t="s">
        <v>243</v>
      </c>
      <c r="C27" s="1193">
        <f t="shared" ref="C27:L27" si="2">C34</f>
        <v>0.10059999999999999</v>
      </c>
      <c r="D27" s="1193">
        <f t="shared" si="2"/>
        <v>1.2221740000000001</v>
      </c>
      <c r="E27" s="1193">
        <f t="shared" si="2"/>
        <v>0.1024</v>
      </c>
      <c r="F27" s="1193">
        <f t="shared" si="2"/>
        <v>0.98180000000000001</v>
      </c>
      <c r="G27" s="1193">
        <f t="shared" si="2"/>
        <v>0.1033</v>
      </c>
      <c r="H27" s="1194">
        <f t="shared" si="2"/>
        <v>0.376</v>
      </c>
      <c r="I27" s="1193">
        <f t="shared" si="2"/>
        <v>0.47480299999999998</v>
      </c>
      <c r="J27" s="1193">
        <f t="shared" si="2"/>
        <v>0.40558499999999997</v>
      </c>
      <c r="K27" s="1193">
        <f t="shared" si="2"/>
        <v>2.4849999999999998E-3</v>
      </c>
      <c r="L27" s="1193">
        <f t="shared" si="2"/>
        <v>0.41696499999999997</v>
      </c>
      <c r="M27" s="929"/>
    </row>
    <row r="28" spans="1:14" s="321" customFormat="1" ht="15" customHeight="1">
      <c r="A28" s="770"/>
      <c r="B28" s="771" t="s">
        <v>244</v>
      </c>
      <c r="C28" s="1193">
        <f t="shared" ref="C28:L28" si="3">C37</f>
        <v>0.10059999999999999</v>
      </c>
      <c r="D28" s="1193">
        <f t="shared" si="3"/>
        <v>1.226159</v>
      </c>
      <c r="E28" s="1193">
        <f t="shared" si="3"/>
        <v>0.1024</v>
      </c>
      <c r="F28" s="1193">
        <f t="shared" si="3"/>
        <v>0.98180000000000001</v>
      </c>
      <c r="G28" s="1193">
        <f t="shared" si="3"/>
        <v>0.1033</v>
      </c>
      <c r="H28" s="1194">
        <f t="shared" si="3"/>
        <v>0.376</v>
      </c>
      <c r="I28" s="1193">
        <f t="shared" si="3"/>
        <v>0.47555500000000001</v>
      </c>
      <c r="J28" s="1193">
        <f t="shared" si="3"/>
        <v>0.40291500000000002</v>
      </c>
      <c r="K28" s="1193">
        <f t="shared" si="3"/>
        <v>2.3379999999999998E-3</v>
      </c>
      <c r="L28" s="1193">
        <f t="shared" si="3"/>
        <v>0.41844900000000002</v>
      </c>
      <c r="M28" s="929"/>
    </row>
    <row r="29" spans="1:14" s="321" customFormat="1" ht="15" customHeight="1">
      <c r="A29" s="770"/>
      <c r="B29" s="771" t="s">
        <v>245</v>
      </c>
      <c r="C29" s="1193">
        <f t="shared" ref="C29:L29" si="4">C40</f>
        <v>0.10059999999999999</v>
      </c>
      <c r="D29" s="1193">
        <f t="shared" si="4"/>
        <v>1.2326490000000001</v>
      </c>
      <c r="E29" s="1193">
        <f t="shared" si="4"/>
        <v>0.1024</v>
      </c>
      <c r="F29" s="1193">
        <f t="shared" si="4"/>
        <v>0.98180000000000001</v>
      </c>
      <c r="G29" s="1193">
        <f t="shared" si="4"/>
        <v>0.1033</v>
      </c>
      <c r="H29" s="1194">
        <f t="shared" si="4"/>
        <v>0.376</v>
      </c>
      <c r="I29" s="1193">
        <f t="shared" si="4"/>
        <v>0.503328</v>
      </c>
      <c r="J29" s="1193">
        <f t="shared" si="4"/>
        <v>0.42008299999999998</v>
      </c>
      <c r="K29" s="1193">
        <f t="shared" si="4"/>
        <v>2.6340000000000001E-3</v>
      </c>
      <c r="L29" s="1193">
        <f t="shared" si="4"/>
        <v>0.44694400000000001</v>
      </c>
      <c r="M29" s="929"/>
    </row>
    <row r="30" spans="1:14" s="321" customFormat="1" ht="15" customHeight="1">
      <c r="A30" s="930"/>
      <c r="B30" s="1025" t="s">
        <v>242</v>
      </c>
      <c r="C30" s="1108">
        <f t="shared" ref="C30:L30" si="5">C43</f>
        <v>0.10059999999999999</v>
      </c>
      <c r="D30" s="1108">
        <f t="shared" si="5"/>
        <v>1.220766</v>
      </c>
      <c r="E30" s="1108">
        <f t="shared" si="5"/>
        <v>0.1024</v>
      </c>
      <c r="F30" s="1108">
        <f t="shared" si="5"/>
        <v>0.98180000000000001</v>
      </c>
      <c r="G30" s="1108">
        <f t="shared" si="5"/>
        <v>0.1033</v>
      </c>
      <c r="H30" s="1109">
        <f t="shared" si="5"/>
        <v>0.376</v>
      </c>
      <c r="I30" s="1108">
        <f t="shared" si="5"/>
        <v>0.47188799999999997</v>
      </c>
      <c r="J30" s="1108">
        <f t="shared" si="5"/>
        <v>0.39125599999999999</v>
      </c>
      <c r="K30" s="1108">
        <f t="shared" si="5"/>
        <v>2.3999999999999998E-3</v>
      </c>
      <c r="L30" s="1108">
        <f t="shared" si="5"/>
        <v>0.41645700000000002</v>
      </c>
      <c r="M30" s="929"/>
    </row>
    <row r="31" spans="1:14" s="321" customFormat="1" ht="21" customHeight="1">
      <c r="A31" s="770">
        <v>2023</v>
      </c>
      <c r="B31" s="771" t="s">
        <v>426</v>
      </c>
      <c r="C31" s="1193">
        <v>0.10059999999999999</v>
      </c>
      <c r="D31" s="1193">
        <v>1.2247600000000001</v>
      </c>
      <c r="E31" s="1193">
        <v>0.1024</v>
      </c>
      <c r="F31" s="1193">
        <v>0.98180000000000001</v>
      </c>
      <c r="G31" s="1193">
        <v>0.1033</v>
      </c>
      <c r="H31" s="1194">
        <v>0.376</v>
      </c>
      <c r="I31" s="1193">
        <v>0.47910000000000003</v>
      </c>
      <c r="J31" s="1193">
        <v>0.41660000000000003</v>
      </c>
      <c r="K31" s="2016">
        <v>2.6549999999999998E-3</v>
      </c>
      <c r="L31" s="1193">
        <v>0.44625500000000001</v>
      </c>
      <c r="N31" s="2015"/>
    </row>
    <row r="32" spans="1:14" s="321" customFormat="1" ht="21" customHeight="1">
      <c r="A32" s="770">
        <v>2024</v>
      </c>
      <c r="B32" s="771" t="s">
        <v>427</v>
      </c>
      <c r="C32" s="1193">
        <v>0.10059999999999999</v>
      </c>
      <c r="D32" s="1193">
        <v>1.222353</v>
      </c>
      <c r="E32" s="1193">
        <v>0.1024</v>
      </c>
      <c r="F32" s="1193">
        <v>0.98180000000000001</v>
      </c>
      <c r="G32" s="1193">
        <v>0.1033</v>
      </c>
      <c r="H32" s="1194">
        <v>0.376</v>
      </c>
      <c r="I32" s="1193">
        <v>0.477379</v>
      </c>
      <c r="J32" s="1193">
        <v>0.40778500000000001</v>
      </c>
      <c r="K32" s="2016">
        <v>2.5500000000000002E-3</v>
      </c>
      <c r="L32" s="1193">
        <v>0.436365</v>
      </c>
      <c r="N32" s="2015"/>
    </row>
    <row r="33" spans="1:14" s="321" customFormat="1">
      <c r="A33" s="770"/>
      <c r="B33" s="771" t="s">
        <v>416</v>
      </c>
      <c r="C33" s="1193">
        <v>0.10059999999999999</v>
      </c>
      <c r="D33" s="1193">
        <v>1.222075</v>
      </c>
      <c r="E33" s="1193">
        <v>0.1024</v>
      </c>
      <c r="F33" s="1193">
        <v>0.98180000000000001</v>
      </c>
      <c r="G33" s="1193">
        <v>0.1033</v>
      </c>
      <c r="H33" s="1194">
        <v>0.376</v>
      </c>
      <c r="I33" s="1193">
        <v>0.47617500000000001</v>
      </c>
      <c r="J33" s="1193">
        <v>0.40754000000000001</v>
      </c>
      <c r="K33" s="2016">
        <v>2.4979999999999998E-3</v>
      </c>
      <c r="L33" s="1193">
        <v>0.42797299999999999</v>
      </c>
      <c r="N33" s="2015"/>
    </row>
    <row r="34" spans="1:14" s="321" customFormat="1">
      <c r="A34" s="770"/>
      <c r="B34" s="771" t="s">
        <v>417</v>
      </c>
      <c r="C34" s="1193">
        <v>0.10059999999999999</v>
      </c>
      <c r="D34" s="1193">
        <v>1.2221740000000001</v>
      </c>
      <c r="E34" s="1193">
        <v>0.1024</v>
      </c>
      <c r="F34" s="1193">
        <v>0.98180000000000001</v>
      </c>
      <c r="G34" s="1193">
        <v>0.1033</v>
      </c>
      <c r="H34" s="1194">
        <v>0.376</v>
      </c>
      <c r="I34" s="1193">
        <v>0.47480299999999998</v>
      </c>
      <c r="J34" s="1193">
        <v>0.40558499999999997</v>
      </c>
      <c r="K34" s="2016">
        <v>2.4849999999999998E-3</v>
      </c>
      <c r="L34" s="1193">
        <v>0.41696499999999997</v>
      </c>
      <c r="N34" s="2015"/>
    </row>
    <row r="35" spans="1:14" s="321" customFormat="1">
      <c r="A35" s="770"/>
      <c r="B35" s="771" t="s">
        <v>418</v>
      </c>
      <c r="C35" s="1193">
        <v>0.10059999999999999</v>
      </c>
      <c r="D35" s="1193">
        <v>1.2217769999999999</v>
      </c>
      <c r="E35" s="1193">
        <v>0.1024</v>
      </c>
      <c r="F35" s="1193">
        <v>0.98180000000000001</v>
      </c>
      <c r="G35" s="1193">
        <v>0.1033</v>
      </c>
      <c r="H35" s="1194">
        <v>0.376</v>
      </c>
      <c r="I35" s="1193">
        <v>0.47233900000000001</v>
      </c>
      <c r="J35" s="1193">
        <v>0.40297100000000002</v>
      </c>
      <c r="K35" s="2016">
        <v>2.4060000000000002E-3</v>
      </c>
      <c r="L35" s="1193">
        <v>0.41293600000000003</v>
      </c>
      <c r="N35" s="2015"/>
    </row>
    <row r="36" spans="1:14" s="321" customFormat="1">
      <c r="A36" s="770"/>
      <c r="B36" s="771" t="s">
        <v>419</v>
      </c>
      <c r="C36" s="1193">
        <v>0.10059999999999999</v>
      </c>
      <c r="D36" s="1193">
        <v>1.2256990000000001</v>
      </c>
      <c r="E36" s="1193">
        <v>0.1024</v>
      </c>
      <c r="F36" s="1193">
        <v>0.98180000000000001</v>
      </c>
      <c r="G36" s="1193">
        <v>0.1033</v>
      </c>
      <c r="H36" s="1194">
        <v>0.376</v>
      </c>
      <c r="I36" s="1193">
        <v>0.47752899999999998</v>
      </c>
      <c r="J36" s="1193">
        <v>0.40618700000000002</v>
      </c>
      <c r="K36" s="2016">
        <v>2.3896E-3</v>
      </c>
      <c r="L36" s="1193">
        <v>0.41180499999999998</v>
      </c>
      <c r="N36" s="2015"/>
    </row>
    <row r="37" spans="1:14" s="321" customFormat="1">
      <c r="A37" s="770"/>
      <c r="B37" s="771" t="s">
        <v>420</v>
      </c>
      <c r="C37" s="1193">
        <v>0.10059999999999999</v>
      </c>
      <c r="D37" s="1193">
        <v>1.226159</v>
      </c>
      <c r="E37" s="1193">
        <v>0.1024</v>
      </c>
      <c r="F37" s="1193">
        <v>0.98180000000000001</v>
      </c>
      <c r="G37" s="1193">
        <v>0.1033</v>
      </c>
      <c r="H37" s="1194">
        <v>0.376</v>
      </c>
      <c r="I37" s="1193">
        <v>0.47555500000000001</v>
      </c>
      <c r="J37" s="1193">
        <v>0.40291500000000002</v>
      </c>
      <c r="K37" s="2016">
        <v>2.3379999999999998E-3</v>
      </c>
      <c r="L37" s="1193">
        <v>0.41844900000000002</v>
      </c>
      <c r="N37" s="2015"/>
    </row>
    <row r="38" spans="1:14" s="321" customFormat="1">
      <c r="A38" s="770"/>
      <c r="B38" s="771" t="s">
        <v>421</v>
      </c>
      <c r="C38" s="1193">
        <v>0.10059999999999999</v>
      </c>
      <c r="D38" s="1193">
        <v>1.229787</v>
      </c>
      <c r="E38" s="1193">
        <v>0.1024</v>
      </c>
      <c r="F38" s="1193">
        <v>0.98180000000000001</v>
      </c>
      <c r="G38" s="1193">
        <v>0.1033</v>
      </c>
      <c r="H38" s="1194">
        <v>0.376</v>
      </c>
      <c r="I38" s="1193">
        <v>0.482794</v>
      </c>
      <c r="J38" s="1193">
        <v>0.40675099999999997</v>
      </c>
      <c r="K38" s="2016">
        <v>2.464E-3</v>
      </c>
      <c r="L38" s="1193">
        <v>0.42642000000000002</v>
      </c>
      <c r="N38" s="2015"/>
    </row>
    <row r="39" spans="1:14" s="321" customFormat="1">
      <c r="A39" s="770"/>
      <c r="B39" s="771" t="s">
        <v>422</v>
      </c>
      <c r="C39" s="1193">
        <v>0.10059999999999999</v>
      </c>
      <c r="D39" s="1193">
        <v>1.231922</v>
      </c>
      <c r="E39" s="1193">
        <v>0.1024</v>
      </c>
      <c r="F39" s="1193">
        <v>0.98180000000000001</v>
      </c>
      <c r="G39" s="1193">
        <v>0.1033</v>
      </c>
      <c r="H39" s="1194">
        <v>0.376</v>
      </c>
      <c r="I39" s="1193">
        <v>0.49621999999999999</v>
      </c>
      <c r="J39" s="1193">
        <v>0.41844700000000001</v>
      </c>
      <c r="K39" s="2016">
        <v>2.6059999999999998E-3</v>
      </c>
      <c r="L39" s="1193">
        <v>0.44689099999999998</v>
      </c>
      <c r="N39" s="2015"/>
    </row>
    <row r="40" spans="1:14" s="321" customFormat="1">
      <c r="A40" s="770"/>
      <c r="B40" s="771" t="s">
        <v>423</v>
      </c>
      <c r="C40" s="1193">
        <v>0.10059999999999999</v>
      </c>
      <c r="D40" s="1193">
        <v>1.2326490000000001</v>
      </c>
      <c r="E40" s="1193">
        <v>0.1024</v>
      </c>
      <c r="F40" s="1193">
        <v>0.98180000000000001</v>
      </c>
      <c r="G40" s="1193">
        <v>0.1033</v>
      </c>
      <c r="H40" s="1194">
        <v>0.376</v>
      </c>
      <c r="I40" s="1193">
        <v>0.503328</v>
      </c>
      <c r="J40" s="1193">
        <v>0.42008299999999998</v>
      </c>
      <c r="K40" s="2016">
        <v>2.6340000000000001E-3</v>
      </c>
      <c r="L40" s="1193">
        <v>0.44694400000000001</v>
      </c>
      <c r="N40" s="2015"/>
    </row>
    <row r="41" spans="1:14" s="321" customFormat="1">
      <c r="A41" s="770"/>
      <c r="B41" s="771" t="s">
        <v>424</v>
      </c>
      <c r="C41" s="1193">
        <v>0.10059999999999999</v>
      </c>
      <c r="D41" s="1193">
        <v>1.2267589999999999</v>
      </c>
      <c r="E41" s="1193">
        <v>0.1024</v>
      </c>
      <c r="F41" s="1193">
        <v>0.98180000000000001</v>
      </c>
      <c r="G41" s="1193">
        <v>0.1033</v>
      </c>
      <c r="H41" s="1194">
        <v>0.376</v>
      </c>
      <c r="I41" s="1193">
        <v>0.48700599999999999</v>
      </c>
      <c r="J41" s="1193">
        <v>0.40817999999999999</v>
      </c>
      <c r="K41" s="2016">
        <v>2.4499999999999999E-3</v>
      </c>
      <c r="L41" s="1193">
        <v>0.43409799999999998</v>
      </c>
      <c r="N41" s="2015"/>
    </row>
    <row r="42" spans="1:14" s="321" customFormat="1">
      <c r="A42" s="770"/>
      <c r="B42" s="771" t="s">
        <v>425</v>
      </c>
      <c r="C42" s="1193">
        <v>0.10059999999999999</v>
      </c>
      <c r="D42" s="1193">
        <v>1.2232069999999999</v>
      </c>
      <c r="E42" s="1193">
        <v>0.1024</v>
      </c>
      <c r="F42" s="1193">
        <v>0.98180000000000001</v>
      </c>
      <c r="G42" s="1193">
        <v>0.1033</v>
      </c>
      <c r="H42" s="1194">
        <v>0.376</v>
      </c>
      <c r="I42" s="1193">
        <v>0.47651399999999999</v>
      </c>
      <c r="J42" s="1193">
        <v>0.396841</v>
      </c>
      <c r="K42" s="2016">
        <v>2.4789999999999999E-3</v>
      </c>
      <c r="L42" s="1193">
        <v>0.42584100000000003</v>
      </c>
      <c r="N42" s="2015"/>
    </row>
    <row r="43" spans="1:14" s="321" customFormat="1">
      <c r="A43" s="770"/>
      <c r="B43" s="771" t="s">
        <v>426</v>
      </c>
      <c r="C43" s="1193">
        <v>0.10059999999999999</v>
      </c>
      <c r="D43" s="1193">
        <v>1.220766</v>
      </c>
      <c r="E43" s="1193">
        <v>0.1024</v>
      </c>
      <c r="F43" s="1193">
        <v>0.98180000000000001</v>
      </c>
      <c r="G43" s="1193">
        <v>0.1033</v>
      </c>
      <c r="H43" s="1194">
        <v>0.376</v>
      </c>
      <c r="I43" s="1193">
        <v>0.47188799999999997</v>
      </c>
      <c r="J43" s="1193">
        <v>0.39125599999999999</v>
      </c>
      <c r="K43" s="2016">
        <v>2.3999999999999998E-3</v>
      </c>
      <c r="L43" s="1193">
        <v>0.41645700000000002</v>
      </c>
      <c r="N43" s="2015"/>
    </row>
    <row r="44" spans="1:14" s="149" customFormat="1" ht="20.25" customHeight="1">
      <c r="A44" s="279" t="s">
        <v>552</v>
      </c>
      <c r="B44" s="279"/>
      <c r="C44" s="279"/>
      <c r="D44" s="279"/>
      <c r="E44" s="279"/>
      <c r="F44" s="279"/>
      <c r="G44" s="279"/>
      <c r="H44" s="279"/>
      <c r="I44" s="279"/>
      <c r="J44" s="279"/>
      <c r="K44" s="279"/>
      <c r="L44" s="409" t="s">
        <v>553</v>
      </c>
    </row>
    <row r="45" spans="1:14" s="149" customFormat="1" ht="13.5" customHeight="1">
      <c r="A45" s="149" t="s">
        <v>554</v>
      </c>
      <c r="L45" s="412" t="s">
        <v>555</v>
      </c>
    </row>
    <row r="46" spans="1:14" ht="13.7" customHeight="1">
      <c r="A46" s="149"/>
      <c r="G46" s="149"/>
      <c r="H46" s="410"/>
      <c r="I46" s="411"/>
      <c r="J46" s="381"/>
      <c r="K46" s="381"/>
      <c r="L46" s="412"/>
    </row>
    <row r="47" spans="1:14">
      <c r="G47" s="413"/>
      <c r="H47" s="413"/>
      <c r="I47" s="414"/>
      <c r="J47" s="381"/>
      <c r="K47" s="381"/>
      <c r="L47" s="381"/>
    </row>
    <row r="48" spans="1:14">
      <c r="A48" s="319" t="s">
        <v>556</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33e1dd77e396121abb8f19f06a553ab4">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c99b72239a5e2582fc8e92aa7159f82b"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8088CB-B113-4F73-93F2-33087DAFBE04}">
  <ds:schemaRefs>
    <ds:schemaRef ds:uri="http://schemas.microsoft.com/office/infopath/2007/PartnerControls"/>
    <ds:schemaRef ds:uri="http://schemas.microsoft.com/office/2006/documentManagement/types"/>
    <ds:schemaRef ds:uri="http://schemas.microsoft.com/office/2006/metadata/properties"/>
    <ds:schemaRef ds:uri="314111f1-01ad-4005-a8e1-a063935e6564"/>
    <ds:schemaRef ds:uri="http://purl.org/dc/elements/1.1/"/>
    <ds:schemaRef ds:uri="http://www.w3.org/XML/1998/namespace"/>
    <ds:schemaRef ds:uri="http://purl.org/dc/dcmitype/"/>
    <ds:schemaRef ds:uri="http://schemas.openxmlformats.org/package/2006/metadata/core-properties"/>
    <ds:schemaRef ds:uri="88948c4c-baff-4c87-bcda-fd249856c6f2"/>
    <ds:schemaRef ds:uri="http://purl.org/dc/terms/"/>
  </ds:schemaRefs>
</ds:datastoreItem>
</file>

<file path=customXml/itemProps2.xml><?xml version="1.0" encoding="utf-8"?>
<ds:datastoreItem xmlns:ds="http://schemas.openxmlformats.org/officeDocument/2006/customXml" ds:itemID="{566DE423-4F1E-4C9F-8259-40D2B113A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B75459-E953-4BCB-B021-696A831764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47</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2025-04-08T09:22:15Z</cp:lastPrinted>
  <dcterms:created xsi:type="dcterms:W3CDTF">2000-07-05T09:57:24Z</dcterms:created>
  <dcterms:modified xsi:type="dcterms:W3CDTF">2025-04-08T09:35:10Z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